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G:\My Drive\GOOGLE DRIVE B\Structural Calculations for Website\RC Beam Design\"/>
    </mc:Choice>
  </mc:AlternateContent>
  <xr:revisionPtr revIDLastSave="0" documentId="13_ncr:1_{36AED01E-184E-49DC-888F-B8EC3DAA265A}" xr6:coauthVersionLast="47" xr6:coauthVersionMax="47" xr10:uidLastSave="{00000000-0000-0000-0000-000000000000}"/>
  <bookViews>
    <workbookView xWindow="-120" yWindow="-120" windowWidth="29040" windowHeight="15840" tabRatio="839" xr2:uid="{00000000-000D-0000-FFFF-FFFF00000000}"/>
  </bookViews>
  <sheets>
    <sheet name="B1" sheetId="1" r:id="rId1"/>
    <sheet name="Features &amp; Instructions" sheetId="17" r:id="rId2"/>
    <sheet name="Design Forces" sheetId="16" r:id="rId3"/>
    <sheet name="Editable Copy" sheetId="18" r:id="rId4"/>
  </sheets>
  <definedNames>
    <definedName name="_xlnm.Print_Area" localSheetId="0">'B1'!$A$1:$AC$122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1" l="1"/>
  <c r="O55" i="1"/>
  <c r="O19" i="1"/>
  <c r="AI24" i="1" l="1"/>
  <c r="AJ24" i="1"/>
  <c r="AM24" i="1"/>
  <c r="AI60" i="1"/>
  <c r="AJ60" i="1"/>
  <c r="AM60" i="1"/>
  <c r="AI96" i="1"/>
  <c r="AJ96" i="1"/>
  <c r="AM96" i="1"/>
  <c r="J13" i="16" l="1"/>
  <c r="O9" i="16"/>
  <c r="L9" i="16"/>
  <c r="J9" i="16"/>
  <c r="B22" i="16"/>
  <c r="C22" i="16"/>
  <c r="D22" i="16"/>
  <c r="E22" i="16"/>
  <c r="F22" i="16"/>
  <c r="G22" i="16"/>
  <c r="AS4" i="1"/>
  <c r="AS5" i="1" s="1"/>
  <c r="AS6" i="1" s="1"/>
  <c r="AS7" i="1" s="1"/>
  <c r="AS8" i="1" s="1"/>
  <c r="AS9" i="1" s="1"/>
  <c r="AS10" i="1" s="1"/>
  <c r="AV4" i="1"/>
  <c r="AV5" i="1" s="1"/>
  <c r="AV6" i="1" s="1"/>
  <c r="AV7" i="1" s="1"/>
  <c r="AV8" i="1" s="1"/>
  <c r="AV9" i="1" s="1"/>
  <c r="AV10" i="1" s="1"/>
  <c r="AY4" i="1"/>
  <c r="AY5" i="1" s="1"/>
  <c r="AY6" i="1" s="1"/>
  <c r="AY7" i="1" s="1"/>
  <c r="AY8" i="1" s="1"/>
  <c r="AY9" i="1" s="1"/>
  <c r="AY10" i="1" s="1"/>
  <c r="AS12" i="1"/>
  <c r="AT12" i="1" s="1"/>
  <c r="AV12" i="1"/>
  <c r="AW13" i="1" s="1"/>
  <c r="AY12" i="1"/>
  <c r="AZ13" i="1" s="1"/>
  <c r="AS20" i="1"/>
  <c r="AS21" i="1" s="1"/>
  <c r="AS22" i="1" s="1"/>
  <c r="AS23" i="1" s="1"/>
  <c r="AS24" i="1" s="1"/>
  <c r="AS25" i="1" s="1"/>
  <c r="AS26" i="1" s="1"/>
  <c r="AV20" i="1"/>
  <c r="AV21" i="1" s="1"/>
  <c r="AV22" i="1" s="1"/>
  <c r="AV23" i="1" s="1"/>
  <c r="AV24" i="1" s="1"/>
  <c r="AV25" i="1" s="1"/>
  <c r="AV26" i="1" s="1"/>
  <c r="AY20" i="1"/>
  <c r="AY21" i="1" s="1"/>
  <c r="AY22" i="1" s="1"/>
  <c r="AY23" i="1" s="1"/>
  <c r="AY24" i="1" s="1"/>
  <c r="AY25" i="1" s="1"/>
  <c r="AY26" i="1" s="1"/>
  <c r="AS28" i="1"/>
  <c r="AT29" i="1" s="1"/>
  <c r="AV28" i="1"/>
  <c r="AW30" i="1" s="1"/>
  <c r="AY28" i="1"/>
  <c r="AZ27" i="1" s="1"/>
  <c r="AZ11" i="1" l="1"/>
  <c r="AZ17" i="1"/>
  <c r="AZ14" i="1"/>
  <c r="AZ18" i="1"/>
  <c r="AZ15" i="1"/>
  <c r="AY13" i="1"/>
  <c r="AY14" i="1" s="1"/>
  <c r="AY15" i="1" s="1"/>
  <c r="AY16" i="1" s="1"/>
  <c r="AY17" i="1" s="1"/>
  <c r="AY18" i="1" s="1"/>
  <c r="AT17" i="1"/>
  <c r="AW31" i="1"/>
  <c r="AZ32" i="1"/>
  <c r="AZ28" i="1"/>
  <c r="AW27" i="1"/>
  <c r="AW33" i="1"/>
  <c r="AV13" i="1"/>
  <c r="AV14" i="1" s="1"/>
  <c r="AV15" i="1" s="1"/>
  <c r="AV16" i="1" s="1"/>
  <c r="AV17" i="1" s="1"/>
  <c r="AV18" i="1" s="1"/>
  <c r="AW18" i="1"/>
  <c r="AW14" i="1"/>
  <c r="AW29" i="1"/>
  <c r="AV29" i="1"/>
  <c r="AV30" i="1" s="1"/>
  <c r="AV31" i="1" s="1"/>
  <c r="AV32" i="1" s="1"/>
  <c r="AV33" i="1" s="1"/>
  <c r="AV34" i="1" s="1"/>
  <c r="AT30" i="1"/>
  <c r="AT27" i="1"/>
  <c r="AS29" i="1"/>
  <c r="AS30" i="1" s="1"/>
  <c r="AS31" i="1" s="1"/>
  <c r="AS32" i="1" s="1"/>
  <c r="AS33" i="1" s="1"/>
  <c r="AS34" i="1" s="1"/>
  <c r="AT34" i="1"/>
  <c r="AT13" i="1"/>
  <c r="AS13" i="1"/>
  <c r="AS14" i="1" s="1"/>
  <c r="AS15" i="1" s="1"/>
  <c r="AS16" i="1" s="1"/>
  <c r="AS17" i="1" s="1"/>
  <c r="AS18" i="1" s="1"/>
  <c r="AW11" i="1"/>
  <c r="AZ33" i="1"/>
  <c r="AW32" i="1"/>
  <c r="AT31" i="1"/>
  <c r="AZ29" i="1"/>
  <c r="AW28" i="1"/>
  <c r="AT18" i="1"/>
  <c r="AZ16" i="1"/>
  <c r="AW15" i="1"/>
  <c r="AT14" i="1"/>
  <c r="AZ12" i="1"/>
  <c r="AT11" i="1"/>
  <c r="AY29" i="1"/>
  <c r="AY30" i="1" s="1"/>
  <c r="AY31" i="1" s="1"/>
  <c r="AY32" i="1" s="1"/>
  <c r="AY33" i="1" s="1"/>
  <c r="AY34" i="1" s="1"/>
  <c r="AZ34" i="1"/>
  <c r="AT32" i="1"/>
  <c r="AZ30" i="1"/>
  <c r="AT28" i="1"/>
  <c r="AW16" i="1"/>
  <c r="AT15" i="1"/>
  <c r="AW12" i="1"/>
  <c r="AW34" i="1"/>
  <c r="AT33" i="1"/>
  <c r="AZ31" i="1"/>
  <c r="AW17" i="1"/>
  <c r="AT16" i="1"/>
  <c r="O95" i="1" l="1"/>
  <c r="O59" i="1"/>
  <c r="O23" i="1"/>
  <c r="O60" i="1"/>
  <c r="X71" i="1" s="1"/>
  <c r="X75" i="1" s="1"/>
  <c r="U119" i="1"/>
  <c r="F119" i="1"/>
  <c r="V103" i="1"/>
  <c r="Z102" i="1"/>
  <c r="AD102" i="1" s="1"/>
  <c r="V101" i="1"/>
  <c r="O96" i="1"/>
  <c r="X107" i="1" s="1"/>
  <c r="Z93" i="1"/>
  <c r="O93" i="1"/>
  <c r="Y89" i="1"/>
  <c r="AD101" i="1" s="1"/>
  <c r="U83" i="1"/>
  <c r="F83" i="1"/>
  <c r="V67" i="1"/>
  <c r="Z66" i="1"/>
  <c r="AD66" i="1" s="1"/>
  <c r="V65" i="1"/>
  <c r="Z57" i="1"/>
  <c r="O57" i="1"/>
  <c r="Y53" i="1"/>
  <c r="AD65" i="1" s="1"/>
  <c r="Y17" i="1"/>
  <c r="AD29" i="1" s="1"/>
  <c r="U47" i="1"/>
  <c r="Z30" i="1"/>
  <c r="AD30" i="1" s="1"/>
  <c r="O24" i="1"/>
  <c r="X35" i="1" s="1"/>
  <c r="V31" i="1"/>
  <c r="V29" i="1"/>
  <c r="Z21" i="1"/>
  <c r="O21" i="1"/>
  <c r="J95" i="1" s="1"/>
  <c r="AF71" i="1" l="1"/>
  <c r="AF72" i="1"/>
  <c r="W109" i="1"/>
  <c r="X111" i="1"/>
  <c r="U73" i="1"/>
  <c r="W73" i="1"/>
  <c r="U109" i="1"/>
  <c r="U37" i="1"/>
  <c r="AF37" i="1" s="1"/>
  <c r="W37" i="1"/>
  <c r="N97" i="1"/>
  <c r="J59" i="1"/>
  <c r="N61" i="1" s="1"/>
  <c r="X79" i="1"/>
  <c r="X39" i="1"/>
  <c r="J23" i="1"/>
  <c r="N25" i="1" s="1"/>
  <c r="F47" i="1"/>
  <c r="AF109" i="1" l="1"/>
  <c r="AF73" i="1"/>
  <c r="AF107" i="1"/>
  <c r="AF108" i="1"/>
  <c r="AD39" i="1"/>
  <c r="AD111" i="1"/>
  <c r="AF35" i="1"/>
  <c r="AF36" i="1"/>
  <c r="AD75" i="1"/>
  <c r="H101" i="1"/>
  <c r="H29" i="1"/>
  <c r="I65" i="1"/>
  <c r="J72" i="1"/>
  <c r="M73" i="1" s="1"/>
  <c r="M74" i="1" s="1"/>
  <c r="L79" i="1" s="1"/>
  <c r="F80" i="1" s="1"/>
  <c r="I106" i="1"/>
  <c r="J108" i="1"/>
  <c r="M109" i="1" s="1"/>
  <c r="M110" i="1" s="1"/>
  <c r="L115" i="1" s="1"/>
  <c r="F116" i="1" s="1"/>
  <c r="J36" i="1"/>
  <c r="X115" i="1"/>
  <c r="D106" i="1"/>
  <c r="D34" i="1"/>
  <c r="I70" i="1"/>
  <c r="I100" i="1"/>
  <c r="D99" i="1"/>
  <c r="I101" i="1"/>
  <c r="D105" i="1"/>
  <c r="D63" i="1"/>
  <c r="D69" i="1"/>
  <c r="I64" i="1"/>
  <c r="D33" i="1"/>
  <c r="H65" i="1"/>
  <c r="D70" i="1"/>
  <c r="X43" i="1"/>
  <c r="I34" i="1"/>
  <c r="I29" i="1"/>
  <c r="I28" i="1"/>
  <c r="D27" i="1"/>
  <c r="O67" i="1" l="1"/>
  <c r="I69" i="1" s="1"/>
  <c r="N70" i="1" s="1"/>
  <c r="N103" i="1"/>
  <c r="N67" i="1"/>
  <c r="O103" i="1"/>
  <c r="I105" i="1" s="1"/>
  <c r="X117" i="1"/>
  <c r="X119" i="1" s="1"/>
  <c r="L75" i="1"/>
  <c r="E118" i="1"/>
  <c r="D117" i="1"/>
  <c r="L111" i="1"/>
  <c r="E82" i="1"/>
  <c r="D81" i="1"/>
  <c r="N31" i="1"/>
  <c r="O31" i="1"/>
  <c r="I33" i="1" s="1"/>
  <c r="M37" i="1"/>
  <c r="M38" i="1" s="1"/>
  <c r="L43" i="1" s="1"/>
  <c r="F44" i="1" s="1"/>
  <c r="R67" i="1" l="1"/>
  <c r="AD67" i="1" s="1"/>
  <c r="AM89" i="1"/>
  <c r="AM17" i="1"/>
  <c r="AM53" i="1"/>
  <c r="N34" i="1"/>
  <c r="AI17" i="1"/>
  <c r="AI89" i="1"/>
  <c r="AI53" i="1"/>
  <c r="AJ89" i="1"/>
  <c r="AJ17" i="1"/>
  <c r="AJ53" i="1"/>
  <c r="L112" i="1"/>
  <c r="L114" i="1" s="1"/>
  <c r="K118" i="1" s="1"/>
  <c r="N106" i="1"/>
  <c r="R103" i="1"/>
  <c r="AD103" i="1" s="1"/>
  <c r="R31" i="1"/>
  <c r="AD31" i="1" s="1"/>
  <c r="L76" i="1"/>
  <c r="L78" i="1" s="1"/>
  <c r="K82" i="1" s="1"/>
  <c r="X81" i="1"/>
  <c r="X83" i="1" s="1"/>
  <c r="X45" i="1"/>
  <c r="X47" i="1" s="1"/>
  <c r="L39" i="1"/>
  <c r="L40" i="1" s="1"/>
  <c r="L42" i="1" s="1"/>
  <c r="K46" i="1" s="1"/>
  <c r="D45" i="1"/>
  <c r="E46" i="1"/>
  <c r="O120" i="1" l="1"/>
  <c r="K121" i="1"/>
  <c r="K119" i="1"/>
  <c r="Q119" i="1" s="1"/>
  <c r="K85" i="1"/>
  <c r="K83" i="1"/>
  <c r="Q83" i="1" s="1"/>
  <c r="O84" i="1"/>
  <c r="K47" i="1"/>
  <c r="AI21" i="1" s="1"/>
  <c r="K49" i="1"/>
  <c r="O48" i="1"/>
  <c r="AI57" i="1" l="1"/>
  <c r="AJ57" i="1"/>
  <c r="AJ93" i="1"/>
  <c r="AJ21" i="1"/>
  <c r="AI58" i="1"/>
  <c r="AI22" i="1"/>
  <c r="AI94" i="1"/>
  <c r="AI93" i="1"/>
  <c r="AM93" i="1"/>
  <c r="AM57" i="1"/>
  <c r="AM22" i="1"/>
  <c r="AM94" i="1"/>
  <c r="AM58" i="1"/>
  <c r="AJ94" i="1"/>
  <c r="AJ22" i="1"/>
  <c r="AJ58" i="1"/>
  <c r="AM21" i="1"/>
  <c r="Q121" i="1"/>
  <c r="Q85" i="1"/>
  <c r="Q47" i="1"/>
  <c r="Q49" i="1"/>
</calcChain>
</file>

<file path=xl/sharedStrings.xml><?xml version="1.0" encoding="utf-8"?>
<sst xmlns="http://schemas.openxmlformats.org/spreadsheetml/2006/main" count="325" uniqueCount="155">
  <si>
    <t>φ</t>
  </si>
  <si>
    <t>I.</t>
  </si>
  <si>
    <t>=</t>
  </si>
  <si>
    <t>REINFORCED CONCRETE BEAM DESIGN</t>
  </si>
  <si>
    <t>Concrete</t>
  </si>
  <si>
    <t>Location</t>
  </si>
  <si>
    <t>Vu (kN)</t>
  </si>
  <si>
    <t>L_support</t>
  </si>
  <si>
    <t>MPa</t>
  </si>
  <si>
    <t>Midspan</t>
  </si>
  <si>
    <t>R_support</t>
  </si>
  <si>
    <t>x</t>
  </si>
  <si>
    <t>mm</t>
  </si>
  <si>
    <t>Design Specifications:</t>
  </si>
  <si>
    <t>Compressive strength,</t>
  </si>
  <si>
    <t>Reinforcement Bars</t>
  </si>
  <si>
    <t>Yield strength of main bars,</t>
  </si>
  <si>
    <t>Yield strength of shear links,</t>
  </si>
  <si>
    <t>Mpa</t>
  </si>
  <si>
    <t>Unit weight,</t>
  </si>
  <si>
    <r>
      <t>kN/m</t>
    </r>
    <r>
      <rPr>
        <sz val="10"/>
        <color theme="1"/>
        <rFont val="Calibri"/>
        <family val="2"/>
      </rPr>
      <t>³</t>
    </r>
  </si>
  <si>
    <t>Mu (kN-m)</t>
  </si>
  <si>
    <t>Beam Dimensions:</t>
  </si>
  <si>
    <t>Height =</t>
  </si>
  <si>
    <t>Width  =</t>
  </si>
  <si>
    <t>y</t>
  </si>
  <si>
    <t>Stirrups   =</t>
  </si>
  <si>
    <t>set</t>
  </si>
  <si>
    <t>mm Φ</t>
  </si>
  <si>
    <t>A_s</t>
  </si>
  <si>
    <t>II.</t>
  </si>
  <si>
    <t>III.</t>
  </si>
  <si>
    <t>a</t>
  </si>
  <si>
    <t>c</t>
  </si>
  <si>
    <t>d'=</t>
  </si>
  <si>
    <t>d=</t>
  </si>
  <si>
    <t>Clear spacing  =</t>
  </si>
  <si>
    <t>SRB RSB Utilization Factor:</t>
  </si>
  <si>
    <t>DRB RSB Utilization Factor:</t>
  </si>
  <si>
    <t>A's</t>
  </si>
  <si>
    <t>As</t>
  </si>
  <si>
    <t>%age of TB to BB:</t>
  </si>
  <si>
    <t>B-1</t>
  </si>
  <si>
    <t>Flexural Design</t>
  </si>
  <si>
    <t>Shear Design</t>
  </si>
  <si>
    <t>s1</t>
  </si>
  <si>
    <t>s2</t>
  </si>
  <si>
    <t>or</t>
  </si>
  <si>
    <t>s3</t>
  </si>
  <si>
    <t>Maximum stirrups spacings:</t>
  </si>
  <si>
    <t>Use</t>
  </si>
  <si>
    <t>Left</t>
  </si>
  <si>
    <t>Right</t>
  </si>
  <si>
    <t>Computations for Left Support Section:</t>
  </si>
  <si>
    <t>Computations for Right Support Section:</t>
  </si>
  <si>
    <t>Computations for Midspan Section:</t>
  </si>
  <si>
    <t>Clear cover,</t>
  </si>
  <si>
    <t>Mu</t>
  </si>
  <si>
    <t>Vu</t>
  </si>
  <si>
    <t>LEFT</t>
  </si>
  <si>
    <t>BEAM</t>
  </si>
  <si>
    <t>MIDSPAN</t>
  </si>
  <si>
    <t>RIGHT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</si>
  <si>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</si>
  <si>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</si>
  <si>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</si>
  <si>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</si>
  <si>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</si>
  <si>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</si>
  <si>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</si>
  <si>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</si>
  <si>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</si>
  <si>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</si>
  <si>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</si>
  <si>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</si>
  <si>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</si>
  <si>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</si>
  <si>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</si>
  <si>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</si>
  <si>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</si>
  <si>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</si>
  <si>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</si>
  <si>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</si>
  <si>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</si>
  <si>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</si>
  <si>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</si>
  <si>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</si>
  <si>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</si>
  <si>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</si>
  <si>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</si>
  <si>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</si>
  <si>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</si>
  <si>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</si>
  <si>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</si>
  <si>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</si>
  <si>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</si>
  <si>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</si>
  <si>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</si>
  <si>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</si>
  <si>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</si>
  <si>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</si>
  <si>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</si>
  <si>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</si>
  <si>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</si>
  <si>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</si>
  <si>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</si>
  <si>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</si>
  <si>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</si>
  <si>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</si>
  <si>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</si>
  <si>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</si>
  <si>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</si>
  <si>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B8-9</t>
  </si>
  <si>
    <t>7.5 span</t>
  </si>
  <si>
    <t>10 span</t>
  </si>
  <si>
    <t>By: JMVC Consulting Structural Engineers</t>
  </si>
  <si>
    <t>SRB</t>
  </si>
  <si>
    <t>DRB</t>
  </si>
  <si>
    <t>-</t>
  </si>
  <si>
    <t>Design Code: NSCP 2015 / ACI 318-19 (22)</t>
  </si>
  <si>
    <t>Design Forces</t>
  </si>
  <si>
    <t>CREATED BY AND FOR JMVC CONSULTING STRUCTURAL ENGINEERS. STRICTLY NOT FOR SALE OR FOR COMMERCIAL USE. THIS IS FOR EDUCATIONAL OR LIMITED PERSONAL USE ONLY. PLEASE CONNECT WITH @JMVCCSE OR REACH OUT TO INFO@JMVCCSE.COM IF YOU HAVE CONCERNS OR REQUESTS.</t>
  </si>
  <si>
    <t>WWW.JMVCCSE.COM</t>
  </si>
  <si>
    <t>- Dynamic Rebar Placement</t>
  </si>
  <si>
    <t>- Auto calculates shear reinforcement spacing.</t>
  </si>
  <si>
    <t>- Supports Singly and Doubly Reinforced</t>
  </si>
  <si>
    <t>- Dynamically shows the rebar clear spacing</t>
  </si>
  <si>
    <t>- Designs the entire span of the beam (Left, Midspan, and Right Support)</t>
  </si>
  <si>
    <t>- Just fill out the blue fonts</t>
  </si>
  <si>
    <t>PROMPTS</t>
  </si>
  <si>
    <t>INSTRUCTIONS:</t>
  </si>
  <si>
    <t xml:space="preserve"> - Extract your design forces from the analytical model i.e. ETABS or STAAD Pro etc.</t>
  </si>
  <si>
    <t xml:space="preserve"> - Populate the design parameters according to your intent.</t>
  </si>
  <si>
    <t xml:space="preserve"> - Input your preferred beam section width and depth (you may iterate this as you input your rebar specs.</t>
  </si>
  <si>
    <t xml:space="preserve"> - Input your rebar specs i.e. bar count and bar diameter. Use 2 layer bars to your preference.</t>
  </si>
  <si>
    <t xml:space="preserve"> - Iterate the beam dimension and rebar specs until optimized according to your engineering judgement.</t>
  </si>
  <si>
    <t>LIMITATIONS:</t>
  </si>
  <si>
    <t xml:space="preserve"> - Does not support torsion in the beam.</t>
  </si>
  <si>
    <t xml:space="preserve"> - Limited to 2 bar layers on top and bottom placements.</t>
  </si>
  <si>
    <t xml:space="preserve"> - Does not support multiple shear links (stirrups). </t>
  </si>
  <si>
    <t>FEATURES:</t>
  </si>
  <si>
    <t>Singly Reinforced Beam</t>
  </si>
  <si>
    <t>Doubly Reinforced Beam</t>
  </si>
  <si>
    <t>TB</t>
  </si>
  <si>
    <t>BB</t>
  </si>
  <si>
    <t>Top Bar</t>
  </si>
  <si>
    <t>Bottom Bar</t>
  </si>
  <si>
    <t>1. Log into your Gcash account and find the QR button</t>
  </si>
  <si>
    <t>2. Point your camera to the QR Code to scan</t>
  </si>
  <si>
    <t xml:space="preserve">3. Once recognized, you will get another step to add an Optional message. </t>
  </si>
  <si>
    <t>4. IMPORTANT:  In order for us to send you the file, please add your email in the  optional Message box  in text format (myemail at gmail dot com)</t>
  </si>
  <si>
    <t>5. Review the detais and check the  " I confirm that the details are correct"</t>
  </si>
  <si>
    <t>6. Click Send</t>
  </si>
  <si>
    <t>7. Send an email to info@jmvccse.com with your payment confirmation or receipt</t>
  </si>
  <si>
    <t>GET YOUR OWN FULLY EDITABLE COPY OF THIS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</si>
</sst>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General\ &quot;mm&quot;"/>
    <numFmt numFmtId="165" formatCode="#,##0.00000"/>
    <numFmt numFmtId="166" formatCode="General\ &quot;Φ&quot;"/>
    <numFmt numFmtId="167" formatCode="&quot;T&quot;General&quot;Φ&quot;"/>
    <numFmt numFmtId="168" formatCode="0.00\ &quot;mm&quot;"/>
    <numFmt numFmtId="169" formatCode="#,##0.00\ &quot;mm&quot;"/>
    <numFmt numFmtId="170" formatCode="#,##0.00\ &quot;kN-m&quot;"/>
    <numFmt numFmtId="171" formatCode="#,##0.00\ &quot;MPa&quot;"/>
    <numFmt numFmtId="172" formatCode="#,##0.00\ &quot;mm²&quot;\ "/>
    <numFmt numFmtId="173" formatCode="0.00\ &quot;MPa&quot;"/>
    <numFmt numFmtId="174" formatCode="#,##0.00\ &quot;mm²&quot;"/>
    <numFmt numFmtId="175" formatCode="#,##0.00\ &quot;kN&quot;"/>
    <numFmt numFmtId="176" formatCode="#,###\ &quot;mm&quot;"/>
    <numFmt numFmtId="177" formatCode="#,###&quot;mmΦ @&quot;"/>
    <numFmt numFmtId="178" formatCode="General\ &quot;mm O.C.&quot;"/>
    <numFmt numFmtId="179" formatCode="#,##0\ &quot;-&quot;"/>
    <numFmt numFmtId="180" formatCode="0.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0"/>
      <name val="Tahoma"/>
      <family val="2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10"/>
      <color rgb="FF008000"/>
      <name val="Tahoma"/>
      <family val="2"/>
    </font>
    <font>
      <sz val="10"/>
      <color theme="1"/>
      <name val="Calibri"/>
      <family val="2"/>
    </font>
    <font>
      <b/>
      <sz val="10"/>
      <color rgb="FF0000FF"/>
      <name val="Tahoma"/>
      <family val="2"/>
    </font>
    <font>
      <b/>
      <sz val="9"/>
      <color rgb="FF0000FF"/>
      <name val="Tahoma"/>
      <family val="2"/>
    </font>
    <font>
      <sz val="9"/>
      <color rgb="FF0000FF"/>
      <name val="Tahoma"/>
      <family val="2"/>
    </font>
    <font>
      <b/>
      <u/>
      <sz val="10"/>
      <color theme="1"/>
      <name val="Tahoma"/>
      <family val="2"/>
    </font>
    <font>
      <b/>
      <sz val="10"/>
      <color theme="1"/>
      <name val="Tahoma"/>
      <family val="2"/>
    </font>
    <font>
      <sz val="12"/>
      <color theme="1"/>
      <name val="Calibri"/>
      <family val="2"/>
    </font>
    <font>
      <sz val="11"/>
      <color theme="1"/>
      <name val="Cambria Math"/>
      <family val="1"/>
    </font>
    <font>
      <b/>
      <sz val="10"/>
      <color rgb="FF008000"/>
      <name val="Tahoma"/>
      <family val="2"/>
    </font>
    <font>
      <b/>
      <sz val="10"/>
      <color rgb="FFFF0000"/>
      <name val="Tahoma"/>
      <family val="2"/>
    </font>
    <font>
      <b/>
      <sz val="12"/>
      <color theme="1"/>
      <name val="Tahoma"/>
      <family val="2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theme="0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2"/>
      <color theme="0"/>
      <name val="Calibri"/>
      <family val="2"/>
    </font>
    <font>
      <sz val="11"/>
      <name val="Segoe UI Historic"/>
      <family val="2"/>
    </font>
    <font>
      <b/>
      <sz val="16"/>
      <color theme="1"/>
      <name val="Calibri"/>
      <family val="2"/>
      <scheme val="minor"/>
    </font>
    <font>
      <b/>
      <sz val="11"/>
      <name val="Segoe UI Historic"/>
      <family val="2"/>
    </font>
    <font>
      <sz val="11"/>
      <color theme="1"/>
      <name val="Calibri Light"/>
      <family val="2"/>
      <scheme val="maj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3" fillId="0" borderId="0" xfId="0" applyFont="1" applyAlignment="1">
      <alignment vertical="center"/>
    </xf>
    <xf numFmtId="0" fontId="21" fillId="6" borderId="0" xfId="0" applyFont="1" applyFill="1"/>
    <xf numFmtId="0" fontId="0" fillId="7" borderId="0" xfId="0" applyFill="1"/>
    <xf numFmtId="180" fontId="0" fillId="0" borderId="0" xfId="0" applyNumberFormat="1"/>
    <xf numFmtId="3" fontId="10" fillId="0" borderId="5" xfId="0" applyNumberFormat="1" applyFont="1" applyBorder="1" applyAlignment="1" applyProtection="1">
      <alignment horizontal="center" vertical="center"/>
      <protection locked="0"/>
    </xf>
    <xf numFmtId="179" fontId="10" fillId="0" borderId="0" xfId="0" applyNumberFormat="1" applyFont="1" applyAlignment="1" applyProtection="1">
      <alignment horizontal="right" vertical="center"/>
      <protection locked="0"/>
    </xf>
    <xf numFmtId="0" fontId="26" fillId="0" borderId="0" xfId="0" applyFont="1" applyAlignment="1">
      <alignment vertical="center"/>
    </xf>
    <xf numFmtId="0" fontId="27" fillId="0" borderId="0" xfId="0" applyFont="1"/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/>
    <xf numFmtId="4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vertical="center" wrapText="1"/>
    </xf>
    <xf numFmtId="4" fontId="17" fillId="4" borderId="12" xfId="0" applyNumberFormat="1" applyFont="1" applyFill="1" applyBorder="1" applyAlignment="1">
      <alignment horizontal="center" vertical="center"/>
    </xf>
    <xf numFmtId="0" fontId="0" fillId="0" borderId="7" xfId="0" applyBorder="1"/>
    <xf numFmtId="0" fontId="29" fillId="0" borderId="0" xfId="0" applyFont="1"/>
    <xf numFmtId="4" fontId="7" fillId="0" borderId="12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vertical="center"/>
    </xf>
    <xf numFmtId="4" fontId="6" fillId="0" borderId="8" xfId="0" applyNumberFormat="1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quotePrefix="1" applyNumberFormat="1" applyFont="1" applyAlignment="1">
      <alignment horizontal="center" vertical="center"/>
    </xf>
    <xf numFmtId="4" fontId="12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4" fontId="6" fillId="0" borderId="4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166" fontId="6" fillId="0" borderId="5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right" vertical="center"/>
    </xf>
    <xf numFmtId="4" fontId="6" fillId="0" borderId="6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vertical="center"/>
    </xf>
    <xf numFmtId="4" fontId="6" fillId="0" borderId="12" xfId="0" applyNumberFormat="1" applyFont="1" applyBorder="1" applyAlignment="1">
      <alignment horizontal="center" vertical="center"/>
    </xf>
    <xf numFmtId="4" fontId="17" fillId="0" borderId="12" xfId="0" applyNumberFormat="1" applyFont="1" applyBorder="1" applyAlignment="1">
      <alignment horizontal="center" vertical="center"/>
    </xf>
    <xf numFmtId="4" fontId="17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center" vertical="center"/>
    </xf>
    <xf numFmtId="3" fontId="6" fillId="0" borderId="24" xfId="0" applyNumberFormat="1" applyFont="1" applyBorder="1" applyAlignment="1">
      <alignment vertical="center"/>
    </xf>
    <xf numFmtId="3" fontId="6" fillId="0" borderId="21" xfId="0" applyNumberFormat="1" applyFont="1" applyBorder="1" applyAlignment="1">
      <alignment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37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left" vertical="center"/>
    </xf>
    <xf numFmtId="0" fontId="20" fillId="0" borderId="0" xfId="0" applyFont="1"/>
    <xf numFmtId="4" fontId="6" fillId="0" borderId="0" xfId="0" quotePrefix="1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4" fontId="6" fillId="0" borderId="0" xfId="0" quotePrefix="1" applyNumberFormat="1" applyFont="1" applyAlignment="1">
      <alignment horizontal="right" vertical="center"/>
    </xf>
    <xf numFmtId="172" fontId="6" fillId="0" borderId="0" xfId="0" applyNumberFormat="1" applyFont="1" applyAlignment="1">
      <alignment horizontal="left" vertical="center"/>
    </xf>
    <xf numFmtId="3" fontId="14" fillId="0" borderId="0" xfId="0" applyNumberFormat="1" applyFont="1" applyAlignment="1">
      <alignment vertical="center"/>
    </xf>
    <xf numFmtId="0" fontId="16" fillId="0" borderId="0" xfId="0" applyFont="1"/>
    <xf numFmtId="3" fontId="6" fillId="0" borderId="12" xfId="0" quotePrefix="1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4" fontId="18" fillId="0" borderId="0" xfId="0" applyNumberFormat="1" applyFont="1" applyAlignment="1">
      <alignment vertical="center"/>
    </xf>
    <xf numFmtId="174" fontId="6" fillId="0" borderId="0" xfId="0" applyNumberFormat="1" applyFont="1" applyAlignment="1">
      <alignment horizontal="left" vertical="center"/>
    </xf>
    <xf numFmtId="4" fontId="6" fillId="0" borderId="5" xfId="0" quotePrefix="1" applyNumberFormat="1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/>
    </xf>
    <xf numFmtId="4" fontId="6" fillId="0" borderId="2" xfId="0" quotePrefix="1" applyNumberFormat="1" applyFont="1" applyBorder="1" applyAlignment="1">
      <alignment horizontal="center" vertical="center"/>
    </xf>
    <xf numFmtId="174" fontId="6" fillId="0" borderId="2" xfId="0" applyNumberFormat="1" applyFont="1" applyBorder="1" applyAlignment="1">
      <alignment horizontal="left" vertical="center"/>
    </xf>
    <xf numFmtId="4" fontId="14" fillId="0" borderId="2" xfId="0" applyNumberFormat="1" applyFont="1" applyBorder="1" applyAlignment="1">
      <alignment vertical="center"/>
    </xf>
    <xf numFmtId="4" fontId="14" fillId="0" borderId="12" xfId="0" applyNumberFormat="1" applyFont="1" applyBorder="1" applyAlignment="1">
      <alignment vertical="center" wrapText="1"/>
    </xf>
    <xf numFmtId="4" fontId="14" fillId="0" borderId="5" xfId="0" applyNumberFormat="1" applyFont="1" applyBorder="1" applyAlignment="1">
      <alignment vertical="center"/>
    </xf>
    <xf numFmtId="0" fontId="32" fillId="0" borderId="0" xfId="3" applyFont="1" applyFill="1" applyBorder="1" applyAlignment="1" applyProtection="1">
      <alignment wrapText="1"/>
    </xf>
    <xf numFmtId="0" fontId="33" fillId="0" borderId="0" xfId="0" applyFont="1"/>
    <xf numFmtId="0" fontId="34" fillId="0" borderId="0" xfId="0" applyFont="1"/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left" vertical="center"/>
    </xf>
    <xf numFmtId="171" fontId="6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horizontal="center" vertical="center"/>
    </xf>
    <xf numFmtId="174" fontId="6" fillId="0" borderId="0" xfId="0" applyNumberFormat="1" applyFont="1" applyAlignment="1">
      <alignment horizontal="left" vertical="center"/>
    </xf>
    <xf numFmtId="174" fontId="6" fillId="0" borderId="5" xfId="0" applyNumberFormat="1" applyFont="1" applyBorder="1" applyAlignment="1">
      <alignment horizontal="left" vertical="center"/>
    </xf>
    <xf numFmtId="172" fontId="6" fillId="0" borderId="0" xfId="0" applyNumberFormat="1" applyFont="1" applyAlignment="1">
      <alignment horizontal="left" vertical="center"/>
    </xf>
    <xf numFmtId="170" fontId="6" fillId="0" borderId="0" xfId="0" applyNumberFormat="1" applyFont="1" applyAlignment="1">
      <alignment horizontal="left" vertical="center"/>
    </xf>
    <xf numFmtId="168" fontId="6" fillId="0" borderId="0" xfId="0" applyNumberFormat="1" applyFont="1" applyAlignment="1">
      <alignment horizontal="left" vertical="center"/>
    </xf>
    <xf numFmtId="169" fontId="6" fillId="0" borderId="0" xfId="0" applyNumberFormat="1" applyFont="1" applyAlignment="1">
      <alignment horizontal="left" vertical="center"/>
    </xf>
    <xf numFmtId="4" fontId="14" fillId="0" borderId="0" xfId="0" applyNumberFormat="1" applyFont="1" applyAlignment="1">
      <alignment horizontal="center" vertical="center"/>
    </xf>
    <xf numFmtId="0" fontId="24" fillId="8" borderId="29" xfId="0" applyFont="1" applyFill="1" applyBorder="1" applyAlignment="1">
      <alignment horizontal="center" vertical="center" wrapText="1"/>
    </xf>
    <xf numFmtId="0" fontId="24" fillId="8" borderId="30" xfId="0" applyFont="1" applyFill="1" applyBorder="1" applyAlignment="1">
      <alignment horizontal="center" vertical="center" wrapText="1"/>
    </xf>
    <xf numFmtId="0" fontId="24" fillId="8" borderId="31" xfId="0" applyFont="1" applyFill="1" applyBorder="1" applyAlignment="1">
      <alignment horizontal="center" vertical="center" wrapText="1"/>
    </xf>
    <xf numFmtId="0" fontId="24" fillId="8" borderId="32" xfId="0" applyFont="1" applyFill="1" applyBorder="1" applyAlignment="1">
      <alignment horizontal="center" vertical="center" wrapText="1"/>
    </xf>
    <xf numFmtId="0" fontId="24" fillId="8" borderId="0" xfId="0" applyFont="1" applyFill="1" applyAlignment="1">
      <alignment horizontal="center" vertical="center" wrapText="1"/>
    </xf>
    <xf numFmtId="0" fontId="24" fillId="8" borderId="33" xfId="0" applyFont="1" applyFill="1" applyBorder="1" applyAlignment="1">
      <alignment horizontal="center" vertical="center" wrapText="1"/>
    </xf>
    <xf numFmtId="0" fontId="25" fillId="9" borderId="34" xfId="3" applyFont="1" applyFill="1" applyBorder="1" applyAlignment="1" applyProtection="1">
      <alignment horizontal="center" vertical="center"/>
    </xf>
    <xf numFmtId="0" fontId="25" fillId="9" borderId="35" xfId="3" applyFont="1" applyFill="1" applyBorder="1" applyAlignment="1" applyProtection="1">
      <alignment horizontal="center" vertical="center"/>
    </xf>
    <xf numFmtId="0" fontId="25" fillId="9" borderId="36" xfId="3" applyFont="1" applyFill="1" applyBorder="1" applyAlignment="1" applyProtection="1">
      <alignment horizontal="center" vertical="center"/>
    </xf>
    <xf numFmtId="3" fontId="11" fillId="0" borderId="0" xfId="0" applyNumberFormat="1" applyFont="1" applyAlignment="1" applyProtection="1">
      <alignment horizontal="center" vertical="center"/>
      <protection locked="0"/>
    </xf>
    <xf numFmtId="3" fontId="11" fillId="0" borderId="0" xfId="0" applyNumberFormat="1" applyFont="1" applyAlignment="1" applyProtection="1">
      <alignment horizontal="right" vertical="center"/>
      <protection locked="0"/>
    </xf>
    <xf numFmtId="173" fontId="6" fillId="0" borderId="0" xfId="0" applyNumberFormat="1" applyFont="1" applyAlignment="1">
      <alignment horizontal="left" vertical="center"/>
    </xf>
    <xf numFmtId="4" fontId="11" fillId="0" borderId="0" xfId="0" applyNumberFormat="1" applyFont="1" applyAlignment="1" applyProtection="1">
      <alignment horizontal="center" vertical="center"/>
      <protection locked="0"/>
    </xf>
    <xf numFmtId="4" fontId="11" fillId="0" borderId="37" xfId="0" applyNumberFormat="1" applyFont="1" applyBorder="1" applyAlignment="1" applyProtection="1">
      <alignment horizontal="center" vertical="center"/>
      <protection locked="0"/>
    </xf>
    <xf numFmtId="4" fontId="11" fillId="0" borderId="26" xfId="0" applyNumberFormat="1" applyFont="1" applyBorder="1" applyAlignment="1" applyProtection="1">
      <alignment horizontal="center" vertical="center"/>
      <protection locked="0"/>
    </xf>
    <xf numFmtId="4" fontId="11" fillId="0" borderId="27" xfId="0" applyNumberFormat="1" applyFont="1" applyBorder="1" applyAlignment="1" applyProtection="1">
      <alignment horizontal="center" vertical="center"/>
      <protection locked="0"/>
    </xf>
    <xf numFmtId="4" fontId="11" fillId="0" borderId="28" xfId="0" applyNumberFormat="1" applyFont="1" applyBorder="1" applyAlignment="1" applyProtection="1">
      <alignment horizontal="center" vertical="center"/>
      <protection locked="0"/>
    </xf>
    <xf numFmtId="4" fontId="2" fillId="2" borderId="18" xfId="1" applyNumberFormat="1" applyFont="1" applyBorder="1" applyAlignment="1" applyProtection="1">
      <alignment horizontal="center" vertical="center"/>
    </xf>
    <xf numFmtId="4" fontId="2" fillId="2" borderId="19" xfId="1" applyNumberFormat="1" applyFont="1" applyBorder="1" applyAlignment="1" applyProtection="1">
      <alignment horizontal="center" vertical="center"/>
    </xf>
    <xf numFmtId="4" fontId="2" fillId="2" borderId="20" xfId="1" applyNumberFormat="1" applyFont="1" applyBorder="1" applyAlignment="1" applyProtection="1">
      <alignment horizontal="center" vertical="center"/>
    </xf>
    <xf numFmtId="4" fontId="1" fillId="3" borderId="9" xfId="2" applyNumberFormat="1" applyBorder="1" applyAlignment="1" applyProtection="1">
      <alignment horizontal="center" vertical="center"/>
    </xf>
    <xf numFmtId="4" fontId="1" fillId="3" borderId="10" xfId="2" applyNumberFormat="1" applyBorder="1" applyAlignment="1" applyProtection="1">
      <alignment horizontal="center" vertical="center"/>
    </xf>
    <xf numFmtId="4" fontId="2" fillId="2" borderId="23" xfId="1" applyNumberFormat="1" applyFont="1" applyBorder="1" applyAlignment="1" applyProtection="1">
      <alignment horizontal="center" vertical="center"/>
    </xf>
    <xf numFmtId="4" fontId="2" fillId="2" borderId="25" xfId="1" applyNumberFormat="1" applyFont="1" applyBorder="1" applyAlignment="1" applyProtection="1">
      <alignment horizontal="center" vertical="center"/>
    </xf>
    <xf numFmtId="4" fontId="14" fillId="0" borderId="24" xfId="0" applyNumberFormat="1" applyFont="1" applyBorder="1" applyAlignment="1">
      <alignment horizontal="center" vertical="center" wrapText="1"/>
    </xf>
    <xf numFmtId="4" fontId="14" fillId="0" borderId="21" xfId="0" applyNumberFormat="1" applyFont="1" applyBorder="1" applyAlignment="1">
      <alignment horizontal="center" vertical="center" wrapText="1"/>
    </xf>
    <xf numFmtId="4" fontId="14" fillId="0" borderId="22" xfId="0" applyNumberFormat="1" applyFont="1" applyBorder="1" applyAlignment="1">
      <alignment horizontal="center" vertical="center" wrapText="1"/>
    </xf>
    <xf numFmtId="0" fontId="0" fillId="0" borderId="0" xfId="0"/>
    <xf numFmtId="177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7" fontId="10" fillId="0" borderId="0" xfId="0" quotePrefix="1" applyNumberFormat="1" applyFont="1" applyAlignment="1" applyProtection="1">
      <alignment horizontal="center" vertical="center"/>
      <protection locked="0"/>
    </xf>
    <xf numFmtId="175" fontId="6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164" fontId="6" fillId="0" borderId="8" xfId="0" applyNumberFormat="1" applyFont="1" applyBorder="1" applyAlignment="1">
      <alignment horizontal="left" vertical="center"/>
    </xf>
    <xf numFmtId="178" fontId="3" fillId="0" borderId="0" xfId="0" applyNumberFormat="1" applyFont="1" applyAlignment="1">
      <alignment horizontal="left"/>
    </xf>
    <xf numFmtId="4" fontId="11" fillId="0" borderId="15" xfId="0" applyNumberFormat="1" applyFont="1" applyBorder="1" applyAlignment="1" applyProtection="1">
      <alignment horizontal="center" vertical="center"/>
      <protection locked="0"/>
    </xf>
    <xf numFmtId="4" fontId="11" fillId="0" borderId="16" xfId="0" applyNumberFormat="1" applyFont="1" applyBorder="1" applyAlignment="1" applyProtection="1">
      <alignment horizontal="center" vertical="center"/>
      <protection locked="0"/>
    </xf>
    <xf numFmtId="0" fontId="3" fillId="10" borderId="0" xfId="0" applyFont="1" applyFill="1" applyAlignment="1">
      <alignment horizontal="center"/>
    </xf>
    <xf numFmtId="4" fontId="22" fillId="5" borderId="18" xfId="0" applyNumberFormat="1" applyFont="1" applyFill="1" applyBorder="1" applyAlignment="1">
      <alignment horizontal="center" vertical="center" wrapText="1"/>
    </xf>
    <xf numFmtId="4" fontId="22" fillId="5" borderId="19" xfId="0" applyNumberFormat="1" applyFont="1" applyFill="1" applyBorder="1" applyAlignment="1">
      <alignment horizontal="center" vertical="center" wrapText="1"/>
    </xf>
    <xf numFmtId="4" fontId="22" fillId="5" borderId="25" xfId="0" applyNumberFormat="1" applyFont="1" applyFill="1" applyBorder="1" applyAlignment="1">
      <alignment horizontal="center" vertical="center" wrapText="1"/>
    </xf>
    <xf numFmtId="4" fontId="11" fillId="0" borderId="38" xfId="0" applyNumberFormat="1" applyFont="1" applyBorder="1" applyAlignment="1" applyProtection="1">
      <alignment horizontal="center" vertical="center"/>
      <protection locked="0"/>
    </xf>
    <xf numFmtId="4" fontId="11" fillId="0" borderId="39" xfId="0" applyNumberFormat="1" applyFont="1" applyBorder="1" applyAlignment="1" applyProtection="1">
      <alignment horizontal="center" vertical="center"/>
      <protection locked="0"/>
    </xf>
    <xf numFmtId="4" fontId="11" fillId="0" borderId="40" xfId="0" applyNumberFormat="1" applyFont="1" applyBorder="1" applyAlignment="1" applyProtection="1">
      <alignment horizontal="center" vertical="center"/>
      <protection locked="0"/>
    </xf>
    <xf numFmtId="4" fontId="11" fillId="0" borderId="10" xfId="0" applyNumberFormat="1" applyFont="1" applyBorder="1" applyAlignment="1" applyProtection="1">
      <alignment horizontal="center" vertical="center"/>
      <protection locked="0"/>
    </xf>
    <xf numFmtId="4" fontId="11" fillId="0" borderId="11" xfId="0" applyNumberFormat="1" applyFont="1" applyBorder="1" applyAlignment="1" applyProtection="1">
      <alignment horizontal="center" vertical="center"/>
      <protection locked="0"/>
    </xf>
    <xf numFmtId="4" fontId="35" fillId="0" borderId="2" xfId="3" applyNumberFormat="1" applyFont="1" applyFill="1" applyBorder="1" applyAlignment="1" applyProtection="1">
      <alignment horizontal="center" vertical="center"/>
    </xf>
    <xf numFmtId="4" fontId="35" fillId="0" borderId="3" xfId="3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Alignment="1">
      <alignment horizontal="right" vertical="center" textRotation="90"/>
    </xf>
    <xf numFmtId="4" fontId="17" fillId="0" borderId="24" xfId="0" applyNumberFormat="1" applyFont="1" applyBorder="1" applyAlignment="1">
      <alignment horizontal="center" vertical="center"/>
    </xf>
    <xf numFmtId="4" fontId="17" fillId="0" borderId="21" xfId="0" applyNumberFormat="1" applyFont="1" applyBorder="1" applyAlignment="1">
      <alignment horizontal="center" vertical="center"/>
    </xf>
    <xf numFmtId="4" fontId="17" fillId="0" borderId="22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4" fontId="11" fillId="0" borderId="12" xfId="0" applyNumberFormat="1" applyFont="1" applyBorder="1" applyAlignment="1" applyProtection="1">
      <alignment horizontal="center" vertical="center"/>
      <protection locked="0"/>
    </xf>
    <xf numFmtId="4" fontId="11" fillId="0" borderId="13" xfId="0" applyNumberFormat="1" applyFont="1" applyBorder="1" applyAlignment="1" applyProtection="1">
      <alignment horizontal="center" vertical="center"/>
      <protection locked="0"/>
    </xf>
    <xf numFmtId="4" fontId="1" fillId="3" borderId="17" xfId="2" applyNumberFormat="1" applyBorder="1" applyAlignment="1" applyProtection="1">
      <alignment horizontal="center" vertical="center"/>
    </xf>
    <xf numFmtId="4" fontId="1" fillId="3" borderId="12" xfId="2" applyNumberFormat="1" applyBorder="1" applyAlignment="1" applyProtection="1">
      <alignment horizontal="center" vertical="center"/>
    </xf>
    <xf numFmtId="4" fontId="1" fillId="3" borderId="14" xfId="2" applyNumberFormat="1" applyBorder="1" applyAlignment="1" applyProtection="1">
      <alignment horizontal="center" vertical="center"/>
    </xf>
    <xf numFmtId="4" fontId="1" fillId="3" borderId="15" xfId="2" applyNumberFormat="1" applyBorder="1" applyAlignment="1" applyProtection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</cellXfs>
  <cellStyles count="4">
    <cellStyle name="20% - Accent1" xfId="2" builtinId="30"/>
    <cellStyle name="Accent1" xfId="1" builtinId="29"/>
    <cellStyle name="Hyperlink" xfId="3" builtinId="8"/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000"/>
      <color rgb="FF0000FF"/>
      <color rgb="FF000099"/>
      <color rgb="FFFF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64916212003119"/>
          <c:y val="9.8918072257964298E-2"/>
          <c:w val="0.68963732462977401"/>
          <c:h val="0.8108094393600082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w="31750"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</c:marker>
          <c:xVal>
            <c:numRef>
              <c:f>'B1'!$AS$3:$AS$34</c:f>
              <c:numCache>
                <c:formatCode>#,##0.00</c:formatCode>
                <c:ptCount val="32"/>
                <c:pt idx="0">
                  <c:v>0</c:v>
                </c:pt>
                <c:pt idx="1">
                  <c:v>150</c:v>
                </c:pt>
                <c:pt idx="2">
                  <c:v>300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150</c:v>
                </c:pt>
                <c:pt idx="18">
                  <c:v>300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300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'B1'!$AT$3:$AT$34</c:f>
              <c:numCache>
                <c:formatCode>#,##0.00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600</c:v>
                </c:pt>
                <c:pt idx="17">
                  <c:v>600</c:v>
                </c:pt>
                <c:pt idx="18">
                  <c:v>600</c:v>
                </c:pt>
                <c:pt idx="19">
                  <c:v>600</c:v>
                </c:pt>
                <c:pt idx="20">
                  <c:v>600</c:v>
                </c:pt>
                <c:pt idx="21">
                  <c:v>600</c:v>
                </c:pt>
                <c:pt idx="22">
                  <c:v>600</c:v>
                </c:pt>
                <c:pt idx="23">
                  <c:v>600</c:v>
                </c:pt>
                <c:pt idx="24">
                  <c:v>525</c:v>
                </c:pt>
                <c:pt idx="25">
                  <c:v>525</c:v>
                </c:pt>
                <c:pt idx="26">
                  <c:v>525</c:v>
                </c:pt>
                <c:pt idx="27">
                  <c:v>525</c:v>
                </c:pt>
                <c:pt idx="28">
                  <c:v>525</c:v>
                </c:pt>
                <c:pt idx="29">
                  <c:v>525</c:v>
                </c:pt>
                <c:pt idx="30">
                  <c:v>525</c:v>
                </c:pt>
                <c:pt idx="31">
                  <c:v>525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6A-40D2-92A2-20D8EA9F9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5056112"/>
        <c:axId val="-175062640"/>
      </c:scatterChart>
      <c:valAx>
        <c:axId val="-175056112"/>
        <c:scaling>
          <c:orientation val="minMax"/>
          <c:max val="300"/>
          <c:min val="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+000" sourceLinked="0"/>
        <c:majorTickMark val="none"/>
        <c:minorTickMark val="none"/>
        <c:tickLblPos val="high"/>
        <c:crossAx val="-175062640"/>
        <c:crosses val="autoZero"/>
        <c:crossBetween val="midCat"/>
      </c:valAx>
      <c:valAx>
        <c:axId val="-175062640"/>
        <c:scaling>
          <c:orientation val="minMax"/>
          <c:max val="60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-175056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25400" cap="flat" cmpd="sng" algn="ctr">
      <a:solidFill>
        <a:srgbClr val="000099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64916212003119"/>
          <c:y val="9.8918072257964298E-2"/>
          <c:w val="0.68963732462977401"/>
          <c:h val="0.8108094393600082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w="31750"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</c:marker>
          <c:xVal>
            <c:numRef>
              <c:f>'B1'!$AV$3:$AV$34</c:f>
              <c:numCache>
                <c:formatCode>#,##0.00</c:formatCode>
                <c:ptCount val="32"/>
                <c:pt idx="0">
                  <c:v>0</c:v>
                </c:pt>
                <c:pt idx="1">
                  <c:v>150</c:v>
                </c:pt>
                <c:pt idx="2">
                  <c:v>300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150</c:v>
                </c:pt>
                <c:pt idx="10">
                  <c:v>300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150</c:v>
                </c:pt>
                <c:pt idx="18">
                  <c:v>300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'B1'!$AW$3:$AW$34</c:f>
              <c:numCache>
                <c:formatCode>#,##0.00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600</c:v>
                </c:pt>
                <c:pt idx="17">
                  <c:v>600</c:v>
                </c:pt>
                <c:pt idx="18">
                  <c:v>600</c:v>
                </c:pt>
                <c:pt idx="19">
                  <c:v>600</c:v>
                </c:pt>
                <c:pt idx="20">
                  <c:v>600</c:v>
                </c:pt>
                <c:pt idx="21">
                  <c:v>600</c:v>
                </c:pt>
                <c:pt idx="22">
                  <c:v>600</c:v>
                </c:pt>
                <c:pt idx="23">
                  <c:v>600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F9-43F4-B46B-FDA504C8A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5063728"/>
        <c:axId val="-175064816"/>
      </c:scatterChart>
      <c:valAx>
        <c:axId val="-175063728"/>
        <c:scaling>
          <c:orientation val="minMax"/>
          <c:max val="300"/>
          <c:min val="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+000" sourceLinked="0"/>
        <c:majorTickMark val="none"/>
        <c:minorTickMark val="none"/>
        <c:tickLblPos val="high"/>
        <c:crossAx val="-175064816"/>
        <c:crosses val="autoZero"/>
        <c:crossBetween val="midCat"/>
      </c:valAx>
      <c:valAx>
        <c:axId val="-175064816"/>
        <c:scaling>
          <c:orientation val="minMax"/>
          <c:max val="60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-175063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25400" cap="flat" cmpd="sng" algn="ctr">
      <a:solidFill>
        <a:srgbClr val="000099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64916212003119"/>
          <c:y val="9.8918072257964298E-2"/>
          <c:w val="0.68963732462977401"/>
          <c:h val="0.8108094393600082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w="31750"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</c:marker>
          <c:xVal>
            <c:numRef>
              <c:f>'B1'!$AY$3:$AY$34</c:f>
              <c:numCache>
                <c:formatCode>#,##0.00</c:formatCode>
                <c:ptCount val="32"/>
                <c:pt idx="0">
                  <c:v>0</c:v>
                </c:pt>
                <c:pt idx="1">
                  <c:v>150</c:v>
                </c:pt>
                <c:pt idx="2">
                  <c:v>300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150</c:v>
                </c:pt>
                <c:pt idx="18">
                  <c:v>300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150</c:v>
                </c:pt>
                <c:pt idx="26">
                  <c:v>300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'B1'!$AZ$3:$AZ$34</c:f>
              <c:numCache>
                <c:formatCode>#,##0.00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600</c:v>
                </c:pt>
                <c:pt idx="17">
                  <c:v>600</c:v>
                </c:pt>
                <c:pt idx="18">
                  <c:v>600</c:v>
                </c:pt>
                <c:pt idx="19">
                  <c:v>600</c:v>
                </c:pt>
                <c:pt idx="20">
                  <c:v>600</c:v>
                </c:pt>
                <c:pt idx="21">
                  <c:v>600</c:v>
                </c:pt>
                <c:pt idx="22">
                  <c:v>600</c:v>
                </c:pt>
                <c:pt idx="23">
                  <c:v>600</c:v>
                </c:pt>
                <c:pt idx="24">
                  <c:v>525</c:v>
                </c:pt>
                <c:pt idx="25">
                  <c:v>525</c:v>
                </c:pt>
                <c:pt idx="26">
                  <c:v>525</c:v>
                </c:pt>
                <c:pt idx="27">
                  <c:v>525</c:v>
                </c:pt>
                <c:pt idx="28">
                  <c:v>525</c:v>
                </c:pt>
                <c:pt idx="29">
                  <c:v>525</c:v>
                </c:pt>
                <c:pt idx="30">
                  <c:v>525</c:v>
                </c:pt>
                <c:pt idx="31">
                  <c:v>525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6F-41FB-9704-DEB0D7D7D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5055024"/>
        <c:axId val="-175059920"/>
      </c:scatterChart>
      <c:valAx>
        <c:axId val="-175055024"/>
        <c:scaling>
          <c:orientation val="minMax"/>
          <c:max val="300"/>
          <c:min val="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+000" sourceLinked="0"/>
        <c:majorTickMark val="none"/>
        <c:minorTickMark val="none"/>
        <c:tickLblPos val="high"/>
        <c:crossAx val="-175059920"/>
        <c:crosses val="autoZero"/>
        <c:crossBetween val="midCat"/>
      </c:valAx>
      <c:valAx>
        <c:axId val="-175059920"/>
        <c:scaling>
          <c:orientation val="minMax"/>
          <c:max val="60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-175055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25400" cap="flat" cmpd="sng" algn="ctr">
      <a:solidFill>
        <a:srgbClr val="000099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91936</xdr:colOff>
      <xdr:row>19</xdr:row>
      <xdr:rowOff>124861</xdr:rowOff>
    </xdr:from>
    <xdr:ext cx="1632370" cy="3109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290719" y="1458361"/>
              <a:ext cx="1632370" cy="3109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max </a:t>
              </a:r>
              <a14:m>
                <m:oMath xmlns:m="http://schemas.openxmlformats.org/officeDocument/2006/math">
                  <m:r>
                    <a:rPr lang="en-US" sz="1100" b="0" i="0">
                      <a:latin typeface="Cambria Math" panose="02040503050406030204" pitchFamily="18" charset="0"/>
                    </a:rPr>
                    <m:t>=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0.75</m:t>
                  </m:r>
                  <m:d>
                    <m:dPr>
                      <m:begChr m:val="["/>
                      <m:endChr m:val="]"/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n-US" sz="11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0.85</m:t>
                          </m:r>
                          <m:sSup>
                            <m:sSupPr>
                              <m:ctrlPr>
                                <a:rPr lang="en-US" sz="1100" b="0" i="1">
                                  <a:latin typeface="Cambria Math" panose="02040503050406030204" pitchFamily="18" charset="0"/>
                                </a:rPr>
                              </m:ctrlPr>
                            </m:sSupPr>
                            <m:e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𝑓</m:t>
                              </m:r>
                            </m:e>
                            <m:sup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′</m:t>
                              </m:r>
                            </m:sup>
                          </m:sSup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𝑐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 </m:t>
                          </m:r>
                          <m:sSub>
                            <m:sSubPr>
                              <m:ctrlPr>
                                <a:rPr lang="en-US" sz="1100" b="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m:rPr>
                                  <m:sty m:val="p"/>
                                </m:rPr>
                                <a:rPr lang="el-GR" sz="1100" b="0" i="1">
                                  <a:latin typeface="Cambria Math" panose="02040503050406030204" pitchFamily="18" charset="0"/>
                                </a:rPr>
                                <m:t>β</m:t>
                              </m:r>
                            </m:e>
                            <m:sub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1</m:t>
                              </m:r>
                            </m:sub>
                          </m:s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(600)</m:t>
                          </m:r>
                        </m:num>
                        <m:den>
                          <m:sSub>
                            <m:sSubPr>
                              <m:ctrlPr>
                                <a:rPr lang="en-US" sz="110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𝑓</m:t>
                              </m:r>
                            </m:e>
                            <m:sub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𝑦</m:t>
                              </m:r>
                            </m:sub>
                          </m:s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(600+</m:t>
                          </m:r>
                          <m:sSub>
                            <m:sSubPr>
                              <m:ctrlPr>
                                <a:rPr lang="en-US" sz="1100" b="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𝑓</m:t>
                              </m:r>
                            </m:e>
                            <m:sub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𝑦</m:t>
                              </m:r>
                            </m:sub>
                          </m:s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)</m:t>
                          </m:r>
                        </m:den>
                      </m:f>
                    </m:e>
                  </m:d>
                </m:oMath>
              </a14:m>
              <a:endParaRPr lang="en-US" sz="105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290719" y="1458361"/>
              <a:ext cx="1632370" cy="3109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max </a:t>
              </a:r>
              <a:r>
                <a:rPr lang="en-US" sz="1100" b="0" i="0">
                  <a:latin typeface="Cambria Math" panose="02040503050406030204" pitchFamily="18" charset="0"/>
                </a:rPr>
                <a:t>=0.75</a:t>
              </a:r>
              <a:r>
                <a:rPr lang="en-US" sz="1100" i="0">
                  <a:latin typeface="Cambria Math" panose="02040503050406030204" pitchFamily="18" charset="0"/>
                </a:rPr>
                <a:t>[(</a:t>
              </a:r>
              <a:r>
                <a:rPr lang="en-US" sz="1100" b="0" i="0">
                  <a:latin typeface="Cambria Math" panose="02040503050406030204" pitchFamily="18" charset="0"/>
                </a:rPr>
                <a:t>0.85𝑓^′ 𝑐 </a:t>
              </a:r>
              <a:r>
                <a:rPr lang="el-GR" sz="1100" b="0" i="0">
                  <a:latin typeface="Cambria Math" panose="02040503050406030204" pitchFamily="18" charset="0"/>
                </a:rPr>
                <a:t>β</a:t>
              </a:r>
              <a:r>
                <a:rPr lang="en-US" sz="1100" b="0" i="0">
                  <a:latin typeface="Cambria Math" panose="02040503050406030204" pitchFamily="18" charset="0"/>
                </a:rPr>
                <a:t>_1 (600))/(𝑓_𝑦 (600+𝑓_𝑦))]</a:t>
              </a:r>
              <a:endParaRPr lang="en-US" sz="1050"/>
            </a:p>
          </xdr:txBody>
        </xdr:sp>
      </mc:Fallback>
    </mc:AlternateContent>
    <xdr:clientData/>
  </xdr:oneCellAnchor>
  <xdr:oneCellAnchor>
    <xdr:from>
      <xdr:col>3</xdr:col>
      <xdr:colOff>114300</xdr:colOff>
      <xdr:row>17</xdr:row>
      <xdr:rowOff>132314</xdr:rowOff>
    </xdr:from>
    <xdr:ext cx="510781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313083" y="1084814"/>
              <a:ext cx="510781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max </a:t>
              </a:r>
              <a14:m>
                <m:oMath xmlns:m="http://schemas.openxmlformats.org/officeDocument/2006/math">
                  <m:r>
                    <a:rPr lang="en-US" sz="1200" b="0" i="1">
                      <a:latin typeface="Cambria Math" panose="02040503050406030204" pitchFamily="18" charset="0"/>
                    </a:rPr>
                    <m:t>=  </m:t>
                  </m:r>
                </m:oMath>
              </a14:m>
              <a:endParaRPr lang="en-US" sz="105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313083" y="1084814"/>
              <a:ext cx="510781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max </a:t>
              </a:r>
              <a:r>
                <a:rPr lang="en-US" sz="1200" b="0" i="0">
                  <a:latin typeface="Cambria Math" panose="02040503050406030204" pitchFamily="18" charset="0"/>
                </a:rPr>
                <a:t>=  </a:t>
              </a:r>
              <a:endParaRPr lang="en-US" sz="1050"/>
            </a:p>
          </xdr:txBody>
        </xdr:sp>
      </mc:Fallback>
    </mc:AlternateContent>
    <xdr:clientData/>
  </xdr:oneCellAnchor>
  <xdr:oneCellAnchor>
    <xdr:from>
      <xdr:col>7</xdr:col>
      <xdr:colOff>175593</xdr:colOff>
      <xdr:row>17</xdr:row>
      <xdr:rowOff>127344</xdr:rowOff>
    </xdr:from>
    <xdr:ext cx="232884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1086680" y="2206279"/>
              <a:ext cx="232884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b</a:t>
              </a:r>
              <a14:m>
                <m:oMath xmlns:m="http://schemas.openxmlformats.org/officeDocument/2006/math">
                  <m:r>
                    <a:rPr lang="en-US" sz="1200" b="0" i="1">
                      <a:latin typeface="Cambria Math" panose="02040503050406030204" pitchFamily="18" charset="0"/>
                    </a:rPr>
                    <m:t>  </m:t>
                  </m:r>
                </m:oMath>
              </a14:m>
              <a:endParaRPr lang="en-US" sz="105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1086680" y="2206279"/>
              <a:ext cx="232884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b</a:t>
              </a:r>
              <a:r>
                <a:rPr lang="en-US" sz="1200" b="0" i="0">
                  <a:latin typeface="Cambria Math" panose="02040503050406030204" pitchFamily="18" charset="0"/>
                </a:rPr>
                <a:t>  </a:t>
              </a:r>
              <a:endParaRPr lang="en-US" sz="1050"/>
            </a:p>
          </xdr:txBody>
        </xdr:sp>
      </mc:Fallback>
    </mc:AlternateContent>
    <xdr:clientData/>
  </xdr:oneCellAnchor>
  <xdr:oneCellAnchor>
    <xdr:from>
      <xdr:col>4</xdr:col>
      <xdr:colOff>81168</xdr:colOff>
      <xdr:row>21</xdr:row>
      <xdr:rowOff>101877</xdr:rowOff>
    </xdr:from>
    <xdr:ext cx="626325" cy="3560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801755" y="4060964"/>
              <a:ext cx="626325" cy="3560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l-GR" sz="1100" i="1">
                        <a:latin typeface="Cambria Math" panose="02040503050406030204" pitchFamily="18" charset="0"/>
                      </a:rPr>
                      <m:t>ω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100" b="0" i="1">
                        <a:latin typeface="Cambria Math" panose="02040503050406030204" pitchFamily="18" charset="0"/>
                      </a:rPr>
                      <m:t>ρ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801755" y="4060964"/>
              <a:ext cx="626325" cy="3560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100" i="0">
                  <a:latin typeface="Cambria Math" panose="02040503050406030204" pitchFamily="18" charset="0"/>
                </a:rPr>
                <a:t>ω</a:t>
              </a:r>
              <a:r>
                <a:rPr lang="en-US" sz="1100" b="0" i="0">
                  <a:latin typeface="Cambria Math" panose="02040503050406030204" pitchFamily="18" charset="0"/>
                </a:rPr>
                <a:t>= </a:t>
              </a:r>
              <a:r>
                <a:rPr lang="el-GR" sz="1100" b="0" i="0">
                  <a:latin typeface="Cambria Math" panose="02040503050406030204" pitchFamily="18" charset="0"/>
                </a:rPr>
                <a:t>ρ</a:t>
              </a:r>
              <a:r>
                <a:rPr lang="en-US" sz="1100" i="0">
                  <a:latin typeface="Cambria Math" panose="02040503050406030204" pitchFamily="18" charset="0"/>
                </a:rPr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𝑓_𝑦/〖𝑓′〗_𝑐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6626</xdr:colOff>
      <xdr:row>24</xdr:row>
      <xdr:rowOff>2486</xdr:rowOff>
    </xdr:from>
    <xdr:ext cx="1728358" cy="1971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544996" y="4533073"/>
              <a:ext cx="1728358" cy="1971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𝑀</m:t>
                      </m:r>
                    </m:e>
                    <m:sub>
                      <m:sSub>
                        <m:sSubPr>
                          <m:ctrlPr>
                            <a:rPr lang="en-US" sz="11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𝑢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𝑚𝑎𝑥</m:t>
                          </m:r>
                        </m:sub>
                      </m:sSub>
                    </m:sub>
                  </m:sSub>
                </m:oMath>
              </a14:m>
              <a:r>
                <a:rPr lang="en-US" sz="1100"/>
                <a:t> </a:t>
              </a:r>
              <a:r>
                <a:rPr lang="en-US" sz="1200"/>
                <a:t>=</a:t>
              </a:r>
              <a:r>
                <a:rPr lang="en-US" sz="1100"/>
                <a:t> </a:t>
              </a:r>
              <a:r>
                <a:rPr lang="el-GR" sz="1100"/>
                <a:t>φ</a:t>
              </a:r>
              <a14:m>
                <m:oMath xmlns:m="http://schemas.openxmlformats.org/officeDocument/2006/math">
                  <m:sSub>
                    <m:sSubPr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𝑓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′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𝑐</m:t>
                      </m:r>
                    </m:sub>
                  </m:sSub>
                </m:oMath>
              </a14:m>
              <a:r>
                <a:rPr lang="el-GR" sz="1100"/>
                <a:t>ω</a:t>
              </a:r>
              <a:r>
                <a:rPr lang="en-US" sz="1100"/>
                <a:t>b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𝑑</m:t>
                      </m:r>
                    </m:e>
                    <m:sup>
                      <m:r>
                        <a:rPr lang="en-US" sz="1100" b="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r>
                <a:rPr lang="en-US" sz="1100"/>
                <a:t>(1</a:t>
              </a:r>
              <a:r>
                <a:rPr lang="en-US" sz="1100" baseline="0"/>
                <a:t> - 0.59</a:t>
              </a:r>
              <a:r>
                <a:rPr lang="el-GR" sz="1100" baseline="0"/>
                <a:t>ω</a:t>
              </a:r>
              <a:r>
                <a:rPr lang="en-US" sz="1100" baseline="0"/>
                <a:t>)</a:t>
              </a:r>
              <a:endParaRPr lang="en-US" sz="11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544996" y="4533073"/>
              <a:ext cx="1728358" cy="1971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𝑀_(𝑢_𝑚𝑎𝑥 )</a:t>
              </a:r>
              <a:r>
                <a:rPr lang="en-US" sz="1100"/>
                <a:t> </a:t>
              </a:r>
              <a:r>
                <a:rPr lang="en-US" sz="1200"/>
                <a:t>=</a:t>
              </a:r>
              <a:r>
                <a:rPr lang="en-US" sz="1100"/>
                <a:t> </a:t>
              </a:r>
              <a:r>
                <a:rPr lang="el-GR" sz="1100"/>
                <a:t>φ</a:t>
              </a:r>
              <a:r>
                <a:rPr lang="el-GR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𝑓′</a:t>
              </a:r>
              <a:r>
                <a:rPr lang="el-GR" sz="1100" b="0" i="0">
                  <a:latin typeface="Cambria Math" panose="02040503050406030204" pitchFamily="18" charset="0"/>
                </a:rPr>
                <a:t>〗_</a:t>
              </a:r>
              <a:r>
                <a:rPr lang="en-US" sz="1100" b="0" i="0">
                  <a:latin typeface="Cambria Math" panose="02040503050406030204" pitchFamily="18" charset="0"/>
                </a:rPr>
                <a:t>𝑐</a:t>
              </a:r>
              <a:r>
                <a:rPr lang="el-GR" sz="1100"/>
                <a:t>ω</a:t>
              </a:r>
              <a:r>
                <a:rPr lang="en-US" sz="1100"/>
                <a:t>b</a:t>
              </a:r>
              <a:r>
                <a:rPr lang="en-US" sz="1100" b="0" i="0">
                  <a:latin typeface="Cambria Math" panose="02040503050406030204" pitchFamily="18" charset="0"/>
                </a:rPr>
                <a:t>𝑑^2</a:t>
              </a:r>
              <a:r>
                <a:rPr lang="en-US" sz="1100"/>
                <a:t>(1</a:t>
              </a:r>
              <a:r>
                <a:rPr lang="en-US" sz="1100" baseline="0"/>
                <a:t> - 0.59</a:t>
              </a:r>
              <a:r>
                <a:rPr lang="el-GR" sz="1100" baseline="0"/>
                <a:t>ω</a:t>
              </a:r>
              <a:r>
                <a:rPr lang="en-US" sz="1100" baseline="0"/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14910</xdr:colOff>
      <xdr:row>8</xdr:row>
      <xdr:rowOff>2486</xdr:rowOff>
    </xdr:from>
    <xdr:ext cx="304699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1837084" y="897008"/>
              <a:ext cx="304699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𝑓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′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𝑐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.</m:t>
                      </m:r>
                    </m:sub>
                  </m:sSub>
                </m:oMath>
              </a14:m>
              <a:r>
                <a:rPr lang="en-US" sz="1100"/>
                <a:t> </a:t>
              </a:r>
              <a:r>
                <a:rPr lang="en-US" sz="1200"/>
                <a:t>=</a:t>
              </a:r>
            </a:p>
          </xdr:txBody>
        </xdr:sp>
      </mc:Choice>
      <mc:Fallback xmlns="">
        <xdr:sp macro="" textlink="">
          <xdr:nvSpPr>
            <xdr:cNvPr id="12" name="TextBox 11"/>
            <xdr:cNvSpPr txBox="1"/>
          </xdr:nvSpPr>
          <xdr:spPr>
            <a:xfrm>
              <a:off x="1837084" y="897008"/>
              <a:ext cx="304699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𝑓′〗_(𝑐.)</a:t>
              </a:r>
              <a:r>
                <a:rPr lang="en-US" sz="1100"/>
                <a:t> </a:t>
              </a:r>
              <a:r>
                <a:rPr lang="en-US" sz="1200"/>
                <a:t>=</a:t>
              </a:r>
            </a:p>
          </xdr:txBody>
        </xdr:sp>
      </mc:Fallback>
    </mc:AlternateContent>
    <xdr:clientData/>
  </xdr:oneCellAnchor>
  <xdr:oneCellAnchor>
    <xdr:from>
      <xdr:col>11</xdr:col>
      <xdr:colOff>59636</xdr:colOff>
      <xdr:row>6</xdr:row>
      <xdr:rowOff>145360</xdr:rowOff>
    </xdr:from>
    <xdr:ext cx="444289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1699593" y="708577"/>
              <a:ext cx="444289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el-GR" sz="1100" i="1">
                          <a:latin typeface="Cambria Math" panose="02040503050406030204" pitchFamily="18" charset="0"/>
                        </a:rPr>
                        <m:t>δ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𝑐𝑜𝑛𝑐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.</m:t>
                      </m:r>
                    </m:sub>
                  </m:sSub>
                </m:oMath>
              </a14:m>
              <a:r>
                <a:rPr lang="en-US" sz="1100"/>
                <a:t> </a:t>
              </a:r>
              <a:r>
                <a:rPr lang="en-US" sz="1200"/>
                <a:t>=</a:t>
              </a:r>
            </a:p>
          </xdr:txBody>
        </xdr:sp>
      </mc:Choice>
      <mc:Fallback xmlns="">
        <xdr:sp macro="" textlink="">
          <xdr:nvSpPr>
            <xdr:cNvPr id="13" name="TextBox 12"/>
            <xdr:cNvSpPr txBox="1"/>
          </xdr:nvSpPr>
          <xdr:spPr>
            <a:xfrm>
              <a:off x="1699593" y="708577"/>
              <a:ext cx="444289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100" i="0">
                  <a:latin typeface="Cambria Math" panose="02040503050406030204" pitchFamily="18" charset="0"/>
                </a:rPr>
                <a:t>δ</a:t>
              </a:r>
              <a:r>
                <a:rPr lang="en-US" sz="1100" i="0">
                  <a:latin typeface="Cambria Math" panose="02040503050406030204" pitchFamily="18" charset="0"/>
                </a:rPr>
                <a:t>_(</a:t>
              </a:r>
              <a:r>
                <a:rPr lang="en-US" sz="1100" b="0" i="0">
                  <a:latin typeface="Cambria Math" panose="02040503050406030204" pitchFamily="18" charset="0"/>
                </a:rPr>
                <a:t>𝑐𝑜𝑛𝑐.)</a:t>
              </a:r>
              <a:r>
                <a:rPr lang="en-US" sz="1100"/>
                <a:t> </a:t>
              </a:r>
              <a:r>
                <a:rPr lang="en-US" sz="1200"/>
                <a:t>=</a:t>
              </a:r>
            </a:p>
          </xdr:txBody>
        </xdr:sp>
      </mc:Fallback>
    </mc:AlternateContent>
    <xdr:clientData/>
  </xdr:oneCellAnchor>
  <xdr:oneCellAnchor>
    <xdr:from>
      <xdr:col>12</xdr:col>
      <xdr:colOff>96078</xdr:colOff>
      <xdr:row>11</xdr:row>
      <xdr:rowOff>148673</xdr:rowOff>
    </xdr:from>
    <xdr:ext cx="232051" cy="1951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1918252" y="1374499"/>
              <a:ext cx="232051" cy="1951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𝑓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𝑦</m:t>
                      </m:r>
                    </m:sub>
                  </m:sSub>
                </m:oMath>
              </a14:m>
              <a:r>
                <a:rPr lang="en-US" sz="1100"/>
                <a:t> </a:t>
              </a:r>
              <a:r>
                <a:rPr lang="en-US" sz="1200"/>
                <a:t>=</a:t>
              </a:r>
            </a:p>
          </xdr:txBody>
        </xdr:sp>
      </mc:Choice>
      <mc:Fallback xmlns="">
        <xdr:sp macro="" textlink="">
          <xdr:nvSpPr>
            <xdr:cNvPr id="14" name="TextBox 13"/>
            <xdr:cNvSpPr txBox="1"/>
          </xdr:nvSpPr>
          <xdr:spPr>
            <a:xfrm>
              <a:off x="1918252" y="1374499"/>
              <a:ext cx="232051" cy="1951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𝑓_𝑦</a:t>
              </a:r>
              <a:r>
                <a:rPr lang="en-US" sz="1100"/>
                <a:t> </a:t>
              </a:r>
              <a:r>
                <a:rPr lang="en-US" sz="1200"/>
                <a:t>=</a:t>
              </a:r>
            </a:p>
          </xdr:txBody>
        </xdr:sp>
      </mc:Fallback>
    </mc:AlternateContent>
    <xdr:clientData/>
  </xdr:oneCellAnchor>
  <xdr:oneCellAnchor>
    <xdr:from>
      <xdr:col>12</xdr:col>
      <xdr:colOff>91109</xdr:colOff>
      <xdr:row>12</xdr:row>
      <xdr:rowOff>159026</xdr:rowOff>
    </xdr:from>
    <xdr:ext cx="225190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1913283" y="1550504"/>
              <a:ext cx="225190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𝑓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𝑣</m:t>
                      </m:r>
                    </m:sub>
                  </m:sSub>
                </m:oMath>
              </a14:m>
              <a:r>
                <a:rPr lang="en-US" sz="1100"/>
                <a:t> </a:t>
              </a:r>
              <a:r>
                <a:rPr lang="en-US" sz="1200"/>
                <a:t>=</a:t>
              </a:r>
            </a:p>
          </xdr:txBody>
        </xdr:sp>
      </mc:Choice>
      <mc:Fallback xmlns="">
        <xdr:sp macro="" textlink="">
          <xdr:nvSpPr>
            <xdr:cNvPr id="15" name="TextBox 14"/>
            <xdr:cNvSpPr txBox="1"/>
          </xdr:nvSpPr>
          <xdr:spPr>
            <a:xfrm>
              <a:off x="1913283" y="1550504"/>
              <a:ext cx="225190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𝑓_𝑣</a:t>
              </a:r>
              <a:r>
                <a:rPr lang="en-US" sz="1100"/>
                <a:t> </a:t>
              </a:r>
              <a:r>
                <a:rPr lang="en-US" sz="1200"/>
                <a:t>=</a:t>
              </a:r>
            </a:p>
          </xdr:txBody>
        </xdr:sp>
      </mc:Fallback>
    </mc:AlternateContent>
    <xdr:clientData/>
  </xdr:oneCellAnchor>
  <xdr:oneCellAnchor>
    <xdr:from>
      <xdr:col>12</xdr:col>
      <xdr:colOff>14909</xdr:colOff>
      <xdr:row>18</xdr:row>
      <xdr:rowOff>2486</xdr:rowOff>
    </xdr:from>
    <xdr:ext cx="17229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2267779" y="3390073"/>
              <a:ext cx="1722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100" i="1">
                            <a:latin typeface="Cambria Math" panose="02040503050406030204" pitchFamily="18" charset="0"/>
                          </a:rPr>
                          <m:t>β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6" name="TextBox 15"/>
            <xdr:cNvSpPr txBox="1"/>
          </xdr:nvSpPr>
          <xdr:spPr>
            <a:xfrm>
              <a:off x="2267779" y="3390073"/>
              <a:ext cx="1722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100" i="0">
                  <a:latin typeface="Cambria Math" panose="02040503050406030204" pitchFamily="18" charset="0"/>
                </a:rPr>
                <a:t>β</a:t>
              </a:r>
              <a:r>
                <a:rPr lang="en-US" sz="110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1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25</xdr:col>
      <xdr:colOff>64476</xdr:colOff>
      <xdr:row>27</xdr:row>
      <xdr:rowOff>49824</xdr:rowOff>
    </xdr:from>
    <xdr:to>
      <xdr:col>26</xdr:col>
      <xdr:colOff>87923</xdr:colOff>
      <xdr:row>27</xdr:row>
      <xdr:rowOff>51288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>
          <a:off x="5185995" y="4621824"/>
          <a:ext cx="265236" cy="14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17</xdr:row>
      <xdr:rowOff>36635</xdr:rowOff>
    </xdr:from>
    <xdr:to>
      <xdr:col>26</xdr:col>
      <xdr:colOff>0</xdr:colOff>
      <xdr:row>27</xdr:row>
      <xdr:rowOff>36635</xdr:rowOff>
    </xdr:to>
    <xdr:cxnSp macro="">
      <xdr:nvCxnSpPr>
        <xdr:cNvPr id="56" name="Straight Arrow Connector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/>
      </xdr:nvCxnSpPr>
      <xdr:spPr>
        <a:xfrm>
          <a:off x="5363308" y="2703635"/>
          <a:ext cx="0" cy="19050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55684</xdr:colOff>
      <xdr:row>17</xdr:row>
      <xdr:rowOff>11724</xdr:rowOff>
    </xdr:from>
    <xdr:to>
      <xdr:col>26</xdr:col>
      <xdr:colOff>79131</xdr:colOff>
      <xdr:row>17</xdr:row>
      <xdr:rowOff>13188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5177203" y="2678724"/>
          <a:ext cx="265236" cy="14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19049</xdr:colOff>
      <xdr:row>27</xdr:row>
      <xdr:rowOff>121628</xdr:rowOff>
    </xdr:from>
    <xdr:to>
      <xdr:col>20</xdr:col>
      <xdr:colOff>21981</xdr:colOff>
      <xdr:row>29</xdr:row>
      <xdr:rowOff>109904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>
          <a:off x="3931626" y="4693628"/>
          <a:ext cx="2932" cy="36927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51289</xdr:colOff>
      <xdr:row>29</xdr:row>
      <xdr:rowOff>7327</xdr:rowOff>
    </xdr:from>
    <xdr:to>
      <xdr:col>24</xdr:col>
      <xdr:colOff>205154</xdr:colOff>
      <xdr:row>29</xdr:row>
      <xdr:rowOff>7328</xdr:rowOff>
    </xdr:to>
    <xdr:cxnSp macro="">
      <xdr:nvCxnSpPr>
        <xdr:cNvPr id="67" name="Straight Arrow Connector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 flipH="1">
          <a:off x="3963866" y="4960327"/>
          <a:ext cx="1121019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222738</xdr:colOff>
      <xdr:row>27</xdr:row>
      <xdr:rowOff>127490</xdr:rowOff>
    </xdr:from>
    <xdr:to>
      <xdr:col>24</xdr:col>
      <xdr:colOff>225670</xdr:colOff>
      <xdr:row>29</xdr:row>
      <xdr:rowOff>115766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>
        <a:xfrm>
          <a:off x="5102469" y="4699490"/>
          <a:ext cx="2932" cy="36927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26278</xdr:colOff>
      <xdr:row>17</xdr:row>
      <xdr:rowOff>26276</xdr:rowOff>
    </xdr:from>
    <xdr:to>
      <xdr:col>24</xdr:col>
      <xdr:colOff>229914</xdr:colOff>
      <xdr:row>27</xdr:row>
      <xdr:rowOff>52551</xdr:rowOff>
    </xdr:to>
    <xdr:graphicFrame macro="">
      <xdr:nvGraphicFramePr>
        <xdr:cNvPr id="77" name="Chart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151086</xdr:colOff>
      <xdr:row>17</xdr:row>
      <xdr:rowOff>157655</xdr:rowOff>
    </xdr:from>
    <xdr:to>
      <xdr:col>24</xdr:col>
      <xdr:colOff>111671</xdr:colOff>
      <xdr:row>26</xdr:row>
      <xdr:rowOff>124810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4059620" y="2824655"/>
          <a:ext cx="906517" cy="1681655"/>
        </a:xfrm>
        <a:prstGeom prst="rect">
          <a:avLst/>
        </a:prstGeom>
        <a:noFill/>
        <a:ln w="2540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3</xdr:col>
      <xdr:colOff>25191</xdr:colOff>
      <xdr:row>27</xdr:row>
      <xdr:rowOff>145004</xdr:rowOff>
    </xdr:from>
    <xdr:ext cx="699359" cy="2848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0" name="TextBox 79">
              <a:extLst>
                <a:ext uri="{FF2B5EF4-FFF2-40B4-BE49-F238E27FC236}">
                  <a16:creationId xmlns:a16="http://schemas.microsoft.com/office/drawing/2014/main" id="{00000000-0008-0000-0000-000050000000}"/>
                </a:ext>
              </a:extLst>
            </xdr:cNvPr>
            <xdr:cNvSpPr txBox="1"/>
          </xdr:nvSpPr>
          <xdr:spPr>
            <a:xfrm>
              <a:off x="425898" y="4717004"/>
              <a:ext cx="699359" cy="2848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2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𝑅</m:t>
                      </m:r>
                    </m:e>
                    <m:sub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𝑢</m:t>
                      </m:r>
                    </m:sub>
                  </m:sSub>
                </m:oMath>
              </a14:m>
              <a:r>
                <a:rPr lang="en-US" sz="1200"/>
                <a:t> </a:t>
              </a:r>
              <a:r>
                <a:rPr lang="en-US" sz="1400"/>
                <a:t>=</a:t>
              </a:r>
              <a:r>
                <a:rPr lang="en-US" sz="1200"/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2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en-US" sz="12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𝑀</m:t>
                          </m:r>
                        </m:e>
                        <m:sub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𝑢</m:t>
                          </m:r>
                        </m:sub>
                      </m:sSub>
                    </m:num>
                    <m:den>
                      <m:r>
                        <m:rPr>
                          <m:sty m:val="p"/>
                        </m:rPr>
                        <a:rPr lang="el-GR" sz="1200" i="1">
                          <a:latin typeface="Cambria Math" panose="02040503050406030204" pitchFamily="18" charset="0"/>
                        </a:rPr>
                        <m:t>ϕ</m:t>
                      </m:r>
                      <m:r>
                        <a:rPr lang="en-US" sz="12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𝑏</m:t>
                      </m:r>
                      <m:r>
                        <a:rPr lang="en-US" sz="1200" b="0" i="1">
                          <a:latin typeface="Cambria Math" panose="02040503050406030204" pitchFamily="18" charset="0"/>
                        </a:rPr>
                        <m:t> </m:t>
                      </m:r>
                      <m:sSup>
                        <m:sSupPr>
                          <m:ctrlPr>
                            <a:rPr lang="en-US" sz="1200" b="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𝑑</m:t>
                          </m:r>
                        </m:e>
                        <m:sup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  <m:r>
                        <a:rPr lang="en-US" sz="1200" b="0" i="1">
                          <a:latin typeface="Cambria Math" panose="02040503050406030204" pitchFamily="18" charset="0"/>
                        </a:rPr>
                        <m:t> </m:t>
                      </m:r>
                    </m:den>
                  </m:f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80" name="TextBox 79"/>
            <xdr:cNvSpPr txBox="1"/>
          </xdr:nvSpPr>
          <xdr:spPr>
            <a:xfrm>
              <a:off x="425898" y="4717004"/>
              <a:ext cx="699359" cy="2848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200" b="0" i="0">
                  <a:latin typeface="Cambria Math" panose="02040503050406030204" pitchFamily="18" charset="0"/>
                </a:rPr>
                <a:t>𝑅_𝑢</a:t>
              </a:r>
              <a:r>
                <a:rPr lang="en-US" sz="1200"/>
                <a:t> </a:t>
              </a:r>
              <a:r>
                <a:rPr lang="en-US" sz="1400"/>
                <a:t>=</a:t>
              </a:r>
              <a:r>
                <a:rPr lang="en-US" sz="1200"/>
                <a:t> </a:t>
              </a:r>
              <a:r>
                <a:rPr lang="en-US" sz="1200" b="0" i="0">
                  <a:latin typeface="Cambria Math" panose="02040503050406030204" pitchFamily="18" charset="0"/>
                </a:rPr>
                <a:t>𝑀_𝑢/(</a:t>
              </a:r>
              <a:r>
                <a:rPr lang="el-GR" sz="1200" i="0">
                  <a:latin typeface="Cambria Math" panose="02040503050406030204" pitchFamily="18" charset="0"/>
                </a:rPr>
                <a:t>ϕ</a:t>
              </a:r>
              <a:r>
                <a:rPr lang="en-US" sz="1200" b="0" i="0">
                  <a:latin typeface="Cambria Math" panose="02040503050406030204" pitchFamily="18" charset="0"/>
                </a:rPr>
                <a:t> 𝑏 𝑑^2 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38329</xdr:colOff>
      <xdr:row>29</xdr:row>
      <xdr:rowOff>85884</xdr:rowOff>
    </xdr:from>
    <xdr:ext cx="1878848" cy="3767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2" name="TextBox 81">
              <a:extLst>
                <a:ext uri="{FF2B5EF4-FFF2-40B4-BE49-F238E27FC236}">
                  <a16:creationId xmlns:a16="http://schemas.microsoft.com/office/drawing/2014/main" id="{00000000-0008-0000-0000-000052000000}"/>
                </a:ext>
              </a:extLst>
            </xdr:cNvPr>
            <xdr:cNvSpPr txBox="1"/>
          </xdr:nvSpPr>
          <xdr:spPr>
            <a:xfrm>
              <a:off x="439036" y="5038884"/>
              <a:ext cx="1878848" cy="3767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 </a:t>
              </a:r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</a:rPr>
                        <m:t>0.85 </m:t>
                      </m:r>
                      <m:sSub>
                        <m:sSubPr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𝑓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′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𝑐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𝑓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𝑦</m:t>
                          </m:r>
                        </m:sub>
                      </m:sSub>
                    </m:den>
                  </m:f>
                  <m:r>
                    <a:rPr lang="en-US" sz="1100" b="0" i="1">
                      <a:latin typeface="Cambria Math" panose="02040503050406030204" pitchFamily="18" charset="0"/>
                    </a:rPr>
                    <m:t> </m:t>
                  </m:r>
                  <m:d>
                    <m:dPr>
                      <m:begChr m:val="["/>
                      <m:endChr m:val="]"/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1−</m:t>
                      </m:r>
                      <m:rad>
                        <m:radPr>
                          <m:degHide m:val="on"/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radPr>
                        <m:deg/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1−</m:t>
                          </m:r>
                          <m:f>
                            <m:fPr>
                              <m:ctrlPr>
                                <a:rPr lang="en-US" sz="1100" b="0" i="1">
                                  <a:latin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2</m:t>
                              </m:r>
                              <m:sSub>
                                <m:sSubPr>
                                  <m:ctrlP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</m:ctrlPr>
                                </m:sSubPr>
                                <m:e>
                                  <m: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  <m:t>𝑅</m:t>
                                  </m:r>
                                </m:e>
                                <m:sub>
                                  <m: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  <m:t>𝑢</m:t>
                                  </m:r>
                                </m:sub>
                              </m:sSub>
                            </m:num>
                            <m:den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0.85</m:t>
                              </m:r>
                              <m:sSub>
                                <m:sSubPr>
                                  <m:ctrlP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</m:ctrlPr>
                                </m:sSubPr>
                                <m:e>
                                  <m: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  <m:t>𝑓</m:t>
                                  </m:r>
                                  <m: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  <m:t>′</m:t>
                                  </m:r>
                                </m:e>
                                <m:sub>
                                  <m: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  <m:t>𝑐</m:t>
                                  </m:r>
                                </m:sub>
                              </m:sSub>
                            </m:den>
                          </m:f>
                        </m:e>
                      </m:rad>
                    </m:e>
                  </m:d>
                  <m:r>
                    <a:rPr lang="en-US" sz="1100" b="0" i="1">
                      <a:latin typeface="Cambria Math" panose="02040503050406030204" pitchFamily="18" charset="0"/>
                    </a:rPr>
                    <m:t>   </m:t>
                  </m:r>
                </m:oMath>
              </a14:m>
              <a:endParaRPr lang="en-US" sz="1050"/>
            </a:p>
          </xdr:txBody>
        </xdr:sp>
      </mc:Choice>
      <mc:Fallback xmlns="">
        <xdr:sp macro="" textlink="">
          <xdr:nvSpPr>
            <xdr:cNvPr id="82" name="TextBox 81"/>
            <xdr:cNvSpPr txBox="1"/>
          </xdr:nvSpPr>
          <xdr:spPr>
            <a:xfrm>
              <a:off x="439036" y="5038884"/>
              <a:ext cx="1878848" cy="3767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=  (0.85 〖𝑓′〗_𝑐)/𝑓_𝑦   [1−√(1−(2𝑅_𝑢)/(0.85〖𝑓′〗_𝑐 ))]    </a:t>
              </a:r>
              <a:endParaRPr lang="en-US" sz="1050"/>
            </a:p>
          </xdr:txBody>
        </xdr:sp>
      </mc:Fallback>
    </mc:AlternateContent>
    <xdr:clientData/>
  </xdr:oneCellAnchor>
  <xdr:oneCellAnchor>
    <xdr:from>
      <xdr:col>3</xdr:col>
      <xdr:colOff>99392</xdr:colOff>
      <xdr:row>35</xdr:row>
      <xdr:rowOff>8282</xdr:rowOff>
    </xdr:from>
    <xdr:ext cx="79194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8" name="TextBox 87">
              <a:extLst>
                <a:ext uri="{FF2B5EF4-FFF2-40B4-BE49-F238E27FC236}">
                  <a16:creationId xmlns:a16="http://schemas.microsoft.com/office/drawing/2014/main" id="{00000000-0008-0000-0000-000058000000}"/>
                </a:ext>
              </a:extLst>
            </xdr:cNvPr>
            <xdr:cNvSpPr txBox="1"/>
          </xdr:nvSpPr>
          <xdr:spPr>
            <a:xfrm>
              <a:off x="496957" y="6104282"/>
              <a:ext cx="7919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</m:oMath>
              </a14:m>
              <a:r>
                <a:rPr lang="en-US" sz="1100"/>
                <a:t> =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el-GR" sz="1100" i="1">
                          <a:latin typeface="Cambria Math" panose="02040503050406030204" pitchFamily="18" charset="0"/>
                        </a:rPr>
                        <m:t>ρ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𝑚𝑎𝑥</m:t>
                      </m:r>
                    </m:sub>
                  </m:sSub>
                </m:oMath>
              </a14:m>
              <a:r>
                <a:rPr lang="en-US" sz="1100"/>
                <a:t>bd</a:t>
              </a:r>
            </a:p>
          </xdr:txBody>
        </xdr:sp>
      </mc:Choice>
      <mc:Fallback xmlns="">
        <xdr:sp macro="" textlink="">
          <xdr:nvSpPr>
            <xdr:cNvPr id="88" name="TextBox 87"/>
            <xdr:cNvSpPr txBox="1"/>
          </xdr:nvSpPr>
          <xdr:spPr>
            <a:xfrm>
              <a:off x="496957" y="6104282"/>
              <a:ext cx="7919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𝐴_𝑠1</a:t>
              </a:r>
              <a:r>
                <a:rPr lang="en-US" sz="1100"/>
                <a:t> = </a:t>
              </a:r>
              <a:r>
                <a:rPr lang="el-GR" sz="1100" i="0">
                  <a:latin typeface="Cambria Math" panose="02040503050406030204" pitchFamily="18" charset="0"/>
                </a:rPr>
                <a:t>ρ</a:t>
              </a:r>
              <a:r>
                <a:rPr lang="en-US" sz="110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𝑚𝑎𝑥</a:t>
              </a:r>
              <a:r>
                <a:rPr lang="en-US" sz="1100"/>
                <a:t>bd</a:t>
              </a:r>
            </a:p>
          </xdr:txBody>
        </xdr:sp>
      </mc:Fallback>
    </mc:AlternateContent>
    <xdr:clientData/>
  </xdr:oneCellAnchor>
  <xdr:oneCellAnchor>
    <xdr:from>
      <xdr:col>3</xdr:col>
      <xdr:colOff>99391</xdr:colOff>
      <xdr:row>36</xdr:row>
      <xdr:rowOff>0</xdr:rowOff>
    </xdr:from>
    <xdr:ext cx="1111266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0" name="TextBox 89">
              <a:extLst>
                <a:ext uri="{FF2B5EF4-FFF2-40B4-BE49-F238E27FC236}">
                  <a16:creationId xmlns:a16="http://schemas.microsoft.com/office/drawing/2014/main" id="{00000000-0008-0000-0000-00005A000000}"/>
                </a:ext>
              </a:extLst>
            </xdr:cNvPr>
            <xdr:cNvSpPr txBox="1"/>
          </xdr:nvSpPr>
          <xdr:spPr>
            <a:xfrm>
              <a:off x="496956" y="6286500"/>
              <a:ext cx="1111266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/>
                <a:t>0.85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𝑎𝑏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=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𝑓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𝑦</m:t>
                      </m:r>
                    </m:sub>
                  </m:sSub>
                  <m:sSubSup>
                    <m:sSubSup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𝑓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𝑐</m:t>
                      </m:r>
                    </m:sub>
                    <m:sup>
                      <m:r>
                        <a:rPr lang="en-US" sz="1100" b="0" i="1">
                          <a:latin typeface="Cambria Math" panose="02040503050406030204" pitchFamily="18" charset="0"/>
                        </a:rPr>
                        <m:t>′</m:t>
                      </m:r>
                    </m:sup>
                  </m:sSubSup>
                </m:oMath>
              </a14:m>
              <a:r>
                <a:rPr lang="en-US" sz="1100"/>
                <a:t> </a:t>
              </a:r>
            </a:p>
          </xdr:txBody>
        </xdr:sp>
      </mc:Choice>
      <mc:Fallback xmlns="">
        <xdr:sp macro="" textlink="">
          <xdr:nvSpPr>
            <xdr:cNvPr id="90" name="TextBox 89"/>
            <xdr:cNvSpPr txBox="1"/>
          </xdr:nvSpPr>
          <xdr:spPr>
            <a:xfrm>
              <a:off x="496956" y="6286500"/>
              <a:ext cx="1111266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/>
                <a:t>0.85</a:t>
              </a:r>
              <a:r>
                <a:rPr lang="en-US" sz="1100" b="0" i="0">
                  <a:latin typeface="Cambria Math" panose="02040503050406030204" pitchFamily="18" charset="0"/>
                </a:rPr>
                <a:t>𝑓_𝑐^′</a:t>
              </a:r>
              <a:r>
                <a:rPr lang="en-US" sz="1100" i="0">
                  <a:latin typeface="Cambria Math" panose="02040503050406030204" pitchFamily="18" charset="0"/>
                </a:rPr>
                <a:t>﷮﷯〖</a:t>
              </a:r>
              <a:r>
                <a:rPr lang="en-US" sz="1100" b="0" i="0">
                  <a:latin typeface="Cambria Math" panose="02040503050406030204" pitchFamily="18" charset="0"/>
                </a:rPr>
                <a:t> 𝑎𝑏=𝐴〗_𝑠1 𝑓_𝑦</a:t>
              </a:r>
              <a:r>
                <a:rPr lang="en-US" sz="1100"/>
                <a:t> </a:t>
              </a:r>
            </a:p>
          </xdr:txBody>
        </xdr:sp>
      </mc:Fallback>
    </mc:AlternateContent>
    <xdr:clientData/>
  </xdr:oneCellAnchor>
  <xdr:oneCellAnchor>
    <xdr:from>
      <xdr:col>3</xdr:col>
      <xdr:colOff>107674</xdr:colOff>
      <xdr:row>38</xdr:row>
      <xdr:rowOff>0</xdr:rowOff>
    </xdr:from>
    <xdr:ext cx="1258230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1" name="TextBox 90">
              <a:extLst>
                <a:ext uri="{FF2B5EF4-FFF2-40B4-BE49-F238E27FC236}">
                  <a16:creationId xmlns:a16="http://schemas.microsoft.com/office/drawing/2014/main" id="{00000000-0008-0000-0000-00005B000000}"/>
                </a:ext>
              </a:extLst>
            </xdr:cNvPr>
            <xdr:cNvSpPr txBox="1"/>
          </xdr:nvSpPr>
          <xdr:spPr>
            <a:xfrm>
              <a:off x="505239" y="6667500"/>
              <a:ext cx="125823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𝑀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𝑢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</m:oMath>
              </a14:m>
              <a:r>
                <a:rPr lang="en-US" sz="1100"/>
                <a:t>= </a:t>
              </a:r>
              <a:r>
                <a:rPr lang="el-GR" sz="1100"/>
                <a:t>φ</a:t>
              </a:r>
              <a14:m>
                <m:oMath xmlns:m="http://schemas.openxmlformats.org/officeDocument/2006/math">
                  <m:sSub>
                    <m:sSubPr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  <m:sSub>
                    <m:sSubPr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𝑓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𝑦</m:t>
                      </m:r>
                    </m:sub>
                  </m:sSub>
                </m:oMath>
              </a14:m>
              <a:r>
                <a:rPr lang="en-US" sz="1100"/>
                <a:t>(d</a:t>
              </a:r>
              <a:r>
                <a:rPr lang="en-US" sz="1100" baseline="0"/>
                <a:t> - a/2)</a:t>
              </a:r>
              <a:r>
                <a:rPr lang="en-US" sz="1100"/>
                <a:t> </a:t>
              </a:r>
            </a:p>
          </xdr:txBody>
        </xdr:sp>
      </mc:Choice>
      <mc:Fallback xmlns="">
        <xdr:sp macro="" textlink="">
          <xdr:nvSpPr>
            <xdr:cNvPr id="91" name="TextBox 90"/>
            <xdr:cNvSpPr txBox="1"/>
          </xdr:nvSpPr>
          <xdr:spPr>
            <a:xfrm>
              <a:off x="505239" y="6667500"/>
              <a:ext cx="125823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𝑀_𝑢1</a:t>
              </a:r>
              <a:r>
                <a:rPr lang="en-US" sz="1100"/>
                <a:t>= </a:t>
              </a:r>
              <a:r>
                <a:rPr lang="el-GR" sz="1100"/>
                <a:t>φ</a:t>
              </a:r>
              <a:r>
                <a:rPr lang="en-US" sz="1100" b="0" i="0">
                  <a:latin typeface="Cambria Math" panose="02040503050406030204" pitchFamily="18" charset="0"/>
                </a:rPr>
                <a:t>𝐴</a:t>
              </a:r>
              <a:r>
                <a:rPr lang="el-GR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𝑠1</a:t>
              </a:r>
              <a:r>
                <a:rPr lang="el-GR" sz="1100" b="0" i="0">
                  <a:latin typeface="Cambria Math" panose="02040503050406030204" pitchFamily="18" charset="0"/>
                </a:rPr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𝑓</a:t>
              </a:r>
              <a:r>
                <a:rPr lang="el-GR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𝑦</a:t>
              </a:r>
              <a:r>
                <a:rPr lang="en-US" sz="1100"/>
                <a:t>(d</a:t>
              </a:r>
              <a:r>
                <a:rPr lang="en-US" sz="1100" baseline="0"/>
                <a:t> - a/2)</a:t>
              </a:r>
              <a:r>
                <a:rPr lang="en-US" sz="1100"/>
                <a:t> </a:t>
              </a:r>
            </a:p>
          </xdr:txBody>
        </xdr:sp>
      </mc:Fallback>
    </mc:AlternateContent>
    <xdr:clientData/>
  </xdr:oneCellAnchor>
  <xdr:oneCellAnchor>
    <xdr:from>
      <xdr:col>3</xdr:col>
      <xdr:colOff>99392</xdr:colOff>
      <xdr:row>39</xdr:row>
      <xdr:rowOff>0</xdr:rowOff>
    </xdr:from>
    <xdr:ext cx="89672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2" name="TextBox 91">
              <a:extLst>
                <a:ext uri="{FF2B5EF4-FFF2-40B4-BE49-F238E27FC236}">
                  <a16:creationId xmlns:a16="http://schemas.microsoft.com/office/drawing/2014/main" id="{00000000-0008-0000-0000-00005C000000}"/>
                </a:ext>
              </a:extLst>
            </xdr:cNvPr>
            <xdr:cNvSpPr txBox="1"/>
          </xdr:nvSpPr>
          <xdr:spPr>
            <a:xfrm>
              <a:off x="496957" y="6858000"/>
              <a:ext cx="89672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𝑀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𝑢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2</m:t>
                      </m:r>
                    </m:sub>
                  </m:sSub>
                </m:oMath>
              </a14:m>
              <a:r>
                <a:rPr lang="en-US" sz="1100"/>
                <a:t>=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𝑀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𝑢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 − </m:t>
                      </m:r>
                    </m:sub>
                  </m:sSub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𝑀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𝑢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92" name="TextBox 91"/>
            <xdr:cNvSpPr txBox="1"/>
          </xdr:nvSpPr>
          <xdr:spPr>
            <a:xfrm>
              <a:off x="496957" y="6858000"/>
              <a:ext cx="89672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𝑀_𝑢2</a:t>
              </a:r>
              <a:r>
                <a:rPr lang="en-US" sz="1100"/>
                <a:t>= </a:t>
              </a:r>
              <a:r>
                <a:rPr lang="en-US" sz="1100" b="0" i="0">
                  <a:latin typeface="Cambria Math" panose="02040503050406030204" pitchFamily="18" charset="0"/>
                </a:rPr>
                <a:t>𝑀_(𝑢 − ) 𝑀_𝑢1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99391</xdr:colOff>
      <xdr:row>40</xdr:row>
      <xdr:rowOff>0</xdr:rowOff>
    </xdr:from>
    <xdr:ext cx="1172244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3" name="TextBox 92">
              <a:extLst>
                <a:ext uri="{FF2B5EF4-FFF2-40B4-BE49-F238E27FC236}">
                  <a16:creationId xmlns:a16="http://schemas.microsoft.com/office/drawing/2014/main" id="{00000000-0008-0000-0000-00005D000000}"/>
                </a:ext>
              </a:extLst>
            </xdr:cNvPr>
            <xdr:cNvSpPr txBox="1"/>
          </xdr:nvSpPr>
          <xdr:spPr>
            <a:xfrm>
              <a:off x="496956" y="7048500"/>
              <a:ext cx="1172244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𝑀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𝑢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2</m:t>
                      </m:r>
                    </m:sub>
                  </m:sSub>
                </m:oMath>
              </a14:m>
              <a:r>
                <a:rPr lang="en-US" sz="1100"/>
                <a:t>= </a:t>
              </a:r>
              <a:r>
                <a:rPr lang="el-GR" sz="1100"/>
                <a:t>φ</a:t>
              </a:r>
              <a14:m>
                <m:oMath xmlns:m="http://schemas.openxmlformats.org/officeDocument/2006/math">
                  <m:sSub>
                    <m:sSubPr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2</m:t>
                      </m:r>
                    </m:sub>
                  </m:sSub>
                  <m:sSub>
                    <m:sSubPr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𝑓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𝑦</m:t>
                      </m:r>
                    </m:sub>
                  </m:sSub>
                </m:oMath>
              </a14:m>
              <a:r>
                <a:rPr lang="en-US" sz="1100"/>
                <a:t>(d</a:t>
              </a:r>
              <a:r>
                <a:rPr lang="en-US" sz="1100" baseline="0"/>
                <a:t> -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i="1" baseline="0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 baseline="0">
                          <a:latin typeface="Cambria Math" panose="02040503050406030204" pitchFamily="18" charset="0"/>
                        </a:rPr>
                        <m:t>𝑑</m:t>
                      </m:r>
                    </m:e>
                    <m:sub>
                      <m:r>
                        <a:rPr lang="en-US" sz="1100" b="0" i="1" baseline="0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</m:oMath>
              </a14:m>
              <a:r>
                <a:rPr lang="en-US" sz="1100"/>
                <a:t>)</a:t>
              </a:r>
            </a:p>
          </xdr:txBody>
        </xdr:sp>
      </mc:Choice>
      <mc:Fallback xmlns="">
        <xdr:sp macro="" textlink="">
          <xdr:nvSpPr>
            <xdr:cNvPr id="93" name="TextBox 92"/>
            <xdr:cNvSpPr txBox="1"/>
          </xdr:nvSpPr>
          <xdr:spPr>
            <a:xfrm>
              <a:off x="496956" y="7048500"/>
              <a:ext cx="1172244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𝑀_𝑢2</a:t>
              </a:r>
              <a:r>
                <a:rPr lang="en-US" sz="1100"/>
                <a:t>= </a:t>
              </a:r>
              <a:r>
                <a:rPr lang="el-GR" sz="1100"/>
                <a:t>φ</a:t>
              </a:r>
              <a:r>
                <a:rPr lang="en-US" sz="1100" b="0" i="0">
                  <a:latin typeface="Cambria Math" panose="02040503050406030204" pitchFamily="18" charset="0"/>
                </a:rPr>
                <a:t>𝐴</a:t>
              </a:r>
              <a:r>
                <a:rPr lang="el-GR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𝑠2</a:t>
              </a:r>
              <a:r>
                <a:rPr lang="el-GR" sz="1100" b="0" i="0">
                  <a:latin typeface="Cambria Math" panose="02040503050406030204" pitchFamily="18" charset="0"/>
                </a:rPr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𝑓</a:t>
              </a:r>
              <a:r>
                <a:rPr lang="el-GR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𝑦</a:t>
              </a:r>
              <a:r>
                <a:rPr lang="en-US" sz="1100"/>
                <a:t>(d</a:t>
              </a:r>
              <a:r>
                <a:rPr lang="en-US" sz="1100" baseline="0"/>
                <a:t> - </a:t>
              </a:r>
              <a:r>
                <a:rPr lang="en-US" sz="1100" b="0" i="0" baseline="0">
                  <a:latin typeface="Cambria Math" panose="02040503050406030204" pitchFamily="18" charset="0"/>
                </a:rPr>
                <a:t>𝑑_1</a:t>
              </a:r>
              <a:r>
                <a:rPr lang="en-US" sz="1100"/>
                <a:t>)</a:t>
              </a:r>
            </a:p>
          </xdr:txBody>
        </xdr:sp>
      </mc:Fallback>
    </mc:AlternateContent>
    <xdr:clientData/>
  </xdr:oneCellAnchor>
  <xdr:oneCellAnchor>
    <xdr:from>
      <xdr:col>9</xdr:col>
      <xdr:colOff>0</xdr:colOff>
      <xdr:row>41</xdr:row>
      <xdr:rowOff>0</xdr:rowOff>
    </xdr:from>
    <xdr:ext cx="30276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5" name="TextBox 94">
              <a:extLst>
                <a:ext uri="{FF2B5EF4-FFF2-40B4-BE49-F238E27FC236}">
                  <a16:creationId xmlns:a16="http://schemas.microsoft.com/office/drawing/2014/main" id="{00000000-0008-0000-0000-00005F000000}"/>
                </a:ext>
              </a:extLst>
            </xdr:cNvPr>
            <xdr:cNvSpPr txBox="1"/>
          </xdr:nvSpPr>
          <xdr:spPr>
            <a:xfrm flipH="1">
              <a:off x="1515717" y="7239000"/>
              <a:ext cx="30276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5" name="TextBox 94"/>
            <xdr:cNvSpPr txBox="1"/>
          </xdr:nvSpPr>
          <xdr:spPr>
            <a:xfrm flipH="1">
              <a:off x="1515717" y="7239000"/>
              <a:ext cx="30276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𝐴_𝑠2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99391</xdr:colOff>
      <xdr:row>41</xdr:row>
      <xdr:rowOff>107674</xdr:rowOff>
    </xdr:from>
    <xdr:ext cx="883319" cy="3160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7" name="TextBox 96">
              <a:extLst>
                <a:ext uri="{FF2B5EF4-FFF2-40B4-BE49-F238E27FC236}">
                  <a16:creationId xmlns:a16="http://schemas.microsoft.com/office/drawing/2014/main" id="{00000000-0008-0000-0000-000061000000}"/>
                </a:ext>
              </a:extLst>
            </xdr:cNvPr>
            <xdr:cNvSpPr txBox="1"/>
          </xdr:nvSpPr>
          <xdr:spPr>
            <a:xfrm>
              <a:off x="496956" y="7346674"/>
              <a:ext cx="883319" cy="3160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𝑓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′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</m:sub>
                  </m:sSub>
                </m:oMath>
              </a14:m>
              <a:r>
                <a:rPr lang="en-US" sz="1100"/>
                <a:t>= 600</a:t>
              </a:r>
              <a14:m>
                <m:oMath xmlns:m="http://schemas.openxmlformats.org/officeDocument/2006/math">
                  <m:d>
                    <m:d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𝑐</m:t>
                          </m:r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− </m:t>
                          </m:r>
                          <m:sSup>
                            <m:sSupPr>
                              <m:ctrlP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𝑑</m:t>
                              </m:r>
                            </m:e>
                            <m:sup>
                              <m: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′</m:t>
                              </m:r>
                            </m:sup>
                          </m:sSup>
                        </m:num>
                        <m:den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𝑐</m:t>
                          </m:r>
                        </m:den>
                      </m:f>
                    </m:e>
                  </m:d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97" name="TextBox 96"/>
            <xdr:cNvSpPr txBox="1"/>
          </xdr:nvSpPr>
          <xdr:spPr>
            <a:xfrm>
              <a:off x="496956" y="7346674"/>
              <a:ext cx="883319" cy="3160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𝑓′〗_𝑠</a:t>
              </a:r>
              <a:r>
                <a:rPr lang="en-US" sz="1100"/>
                <a:t>= 600</a:t>
              </a:r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𝑐 − 𝑑^′)/𝑐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0</xdr:colOff>
      <xdr:row>42</xdr:row>
      <xdr:rowOff>0</xdr:rowOff>
    </xdr:from>
    <xdr:ext cx="20364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8" name="TextBox 97">
              <a:extLst>
                <a:ext uri="{FF2B5EF4-FFF2-40B4-BE49-F238E27FC236}">
                  <a16:creationId xmlns:a16="http://schemas.microsoft.com/office/drawing/2014/main" id="{00000000-0008-0000-0000-000062000000}"/>
                </a:ext>
              </a:extLst>
            </xdr:cNvPr>
            <xdr:cNvSpPr txBox="1"/>
          </xdr:nvSpPr>
          <xdr:spPr>
            <a:xfrm>
              <a:off x="1515717" y="7429500"/>
              <a:ext cx="2036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8" name="TextBox 97"/>
            <xdr:cNvSpPr txBox="1"/>
          </xdr:nvSpPr>
          <xdr:spPr>
            <a:xfrm>
              <a:off x="1515717" y="7429500"/>
              <a:ext cx="2036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𝑓′〗_𝑠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132522</xdr:colOff>
      <xdr:row>47</xdr:row>
      <xdr:rowOff>0</xdr:rowOff>
    </xdr:from>
    <xdr:ext cx="70000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2" name="TextBox 101">
              <a:extLst>
                <a:ext uri="{FF2B5EF4-FFF2-40B4-BE49-F238E27FC236}">
                  <a16:creationId xmlns:a16="http://schemas.microsoft.com/office/drawing/2014/main" id="{00000000-0008-0000-0000-000066000000}"/>
                </a:ext>
              </a:extLst>
            </xdr:cNvPr>
            <xdr:cNvSpPr txBox="1"/>
          </xdr:nvSpPr>
          <xdr:spPr>
            <a:xfrm>
              <a:off x="1217544" y="8721587"/>
              <a:ext cx="7000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𝑠</m:t>
                      </m:r>
                    </m:sub>
                  </m:sSub>
                </m:oMath>
              </a14:m>
              <a:r>
                <a:rPr lang="en-US" sz="1100"/>
                <a:t> required </a:t>
              </a:r>
            </a:p>
          </xdr:txBody>
        </xdr:sp>
      </mc:Choice>
      <mc:Fallback xmlns="">
        <xdr:sp macro="" textlink="">
          <xdr:nvSpPr>
            <xdr:cNvPr id="102" name="TextBox 101"/>
            <xdr:cNvSpPr txBox="1"/>
          </xdr:nvSpPr>
          <xdr:spPr>
            <a:xfrm>
              <a:off x="1217544" y="8721587"/>
              <a:ext cx="7000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𝐴_𝑠</a:t>
              </a:r>
              <a:r>
                <a:rPr lang="en-US" sz="1100"/>
                <a:t> required </a:t>
              </a:r>
            </a:p>
          </xdr:txBody>
        </xdr:sp>
      </mc:Fallback>
    </mc:AlternateContent>
    <xdr:clientData/>
  </xdr:oneCellAnchor>
  <xdr:oneCellAnchor>
    <xdr:from>
      <xdr:col>5</xdr:col>
      <xdr:colOff>115956</xdr:colOff>
      <xdr:row>48</xdr:row>
      <xdr:rowOff>0</xdr:rowOff>
    </xdr:from>
    <xdr:ext cx="75059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5" name="TextBox 104">
              <a:extLst>
                <a:ext uri="{FF2B5EF4-FFF2-40B4-BE49-F238E27FC236}">
                  <a16:creationId xmlns:a16="http://schemas.microsoft.com/office/drawing/2014/main" id="{00000000-0008-0000-0000-000069000000}"/>
                </a:ext>
              </a:extLst>
            </xdr:cNvPr>
            <xdr:cNvSpPr txBox="1"/>
          </xdr:nvSpPr>
          <xdr:spPr>
            <a:xfrm>
              <a:off x="1200978" y="8912087"/>
              <a:ext cx="7505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𝑠</m:t>
                      </m:r>
                    </m:sub>
                  </m:sSub>
                </m:oMath>
              </a14:m>
              <a:r>
                <a:rPr lang="en-US" sz="1100"/>
                <a:t> provided  </a:t>
              </a:r>
            </a:p>
          </xdr:txBody>
        </xdr:sp>
      </mc:Choice>
      <mc:Fallback xmlns="">
        <xdr:sp macro="" textlink="">
          <xdr:nvSpPr>
            <xdr:cNvPr id="105" name="TextBox 104"/>
            <xdr:cNvSpPr txBox="1"/>
          </xdr:nvSpPr>
          <xdr:spPr>
            <a:xfrm>
              <a:off x="1200978" y="8912087"/>
              <a:ext cx="7505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𝐴_𝑠</a:t>
              </a:r>
              <a:r>
                <a:rPr lang="en-US" sz="1100"/>
                <a:t> provided  </a:t>
              </a:r>
            </a:p>
          </xdr:txBody>
        </xdr:sp>
      </mc:Fallback>
    </mc:AlternateContent>
    <xdr:clientData/>
  </xdr:oneCellAnchor>
  <xdr:oneCellAnchor>
    <xdr:from>
      <xdr:col>10</xdr:col>
      <xdr:colOff>0</xdr:colOff>
      <xdr:row>47</xdr:row>
      <xdr:rowOff>0</xdr:rowOff>
    </xdr:from>
    <xdr:ext cx="73879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6" name="TextBox 105">
              <a:extLst>
                <a:ext uri="{FF2B5EF4-FFF2-40B4-BE49-F238E27FC236}">
                  <a16:creationId xmlns:a16="http://schemas.microsoft.com/office/drawing/2014/main" id="{00000000-0008-0000-0000-00006A000000}"/>
                </a:ext>
              </a:extLst>
            </xdr:cNvPr>
            <xdr:cNvSpPr txBox="1"/>
          </xdr:nvSpPr>
          <xdr:spPr>
            <a:xfrm>
              <a:off x="2070652" y="8721587"/>
              <a:ext cx="73879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  <m:r>
                    <a:rPr lang="en-US" sz="1100" b="0" i="0">
                      <a:latin typeface="Cambria Math" panose="02040503050406030204" pitchFamily="18" charset="0"/>
                    </a:rPr>
                    <m:t>+</m:t>
                  </m:r>
                </m:oMath>
              </a14:m>
              <a:r>
                <a:rPr lang="en-US" sz="1100"/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𝑠</m:t>
                      </m:r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b>
                  </m:sSub>
                </m:oMath>
              </a14:m>
              <a:r>
                <a:rPr lang="en-US" sz="1100"/>
                <a:t>  = </a:t>
              </a:r>
            </a:p>
          </xdr:txBody>
        </xdr:sp>
      </mc:Choice>
      <mc:Fallback xmlns="">
        <xdr:sp macro="" textlink="">
          <xdr:nvSpPr>
            <xdr:cNvPr id="106" name="TextBox 105"/>
            <xdr:cNvSpPr txBox="1"/>
          </xdr:nvSpPr>
          <xdr:spPr>
            <a:xfrm>
              <a:off x="2070652" y="8721587"/>
              <a:ext cx="73879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𝐴_𝑠1+</a:t>
              </a:r>
              <a:r>
                <a:rPr lang="en-US" sz="1100"/>
                <a:t>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𝐴_𝑠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/>
                <a:t>  = </a:t>
              </a:r>
            </a:p>
          </xdr:txBody>
        </xdr:sp>
      </mc:Fallback>
    </mc:AlternateContent>
    <xdr:clientData/>
  </xdr:oneCellAnchor>
  <xdr:oneCellAnchor>
    <xdr:from>
      <xdr:col>17</xdr:col>
      <xdr:colOff>190500</xdr:colOff>
      <xdr:row>29</xdr:row>
      <xdr:rowOff>165652</xdr:rowOff>
    </xdr:from>
    <xdr:ext cx="556178" cy="2778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8" name="TextBox 107">
              <a:extLst>
                <a:ext uri="{FF2B5EF4-FFF2-40B4-BE49-F238E27FC236}">
                  <a16:creationId xmlns:a16="http://schemas.microsoft.com/office/drawing/2014/main" id="{00000000-0008-0000-0000-00006C000000}"/>
                </a:ext>
              </a:extLst>
            </xdr:cNvPr>
            <xdr:cNvSpPr txBox="1"/>
          </xdr:nvSpPr>
          <xdr:spPr>
            <a:xfrm>
              <a:off x="3495261" y="5648739"/>
              <a:ext cx="556178" cy="2778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el-GR" sz="1100" i="1">
                          <a:latin typeface="Cambria Math" panose="02040503050406030204" pitchFamily="18" charset="0"/>
                        </a:rPr>
                        <m:t>ρ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𝑚𝑖𝑛</m:t>
                      </m:r>
                    </m:sub>
                  </m:sSub>
                </m:oMath>
              </a14:m>
              <a:r>
                <a:rPr lang="en-US" sz="1100"/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1.4</m:t>
                      </m:r>
                    </m:num>
                    <m:den>
                      <m:sSub>
                        <m:sSubPr>
                          <m:ctrlPr>
                            <a:rPr lang="en-US" sz="11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𝑓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𝑦</m:t>
                          </m:r>
                        </m:sub>
                      </m:sSub>
                    </m:den>
                  </m:f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108" name="TextBox 107"/>
            <xdr:cNvSpPr txBox="1"/>
          </xdr:nvSpPr>
          <xdr:spPr>
            <a:xfrm>
              <a:off x="3495261" y="5648739"/>
              <a:ext cx="556178" cy="2778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100" i="0">
                  <a:latin typeface="Cambria Math" panose="02040503050406030204" pitchFamily="18" charset="0"/>
                </a:rPr>
                <a:t>ρ</a:t>
              </a:r>
              <a:r>
                <a:rPr lang="en-US" sz="110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𝑚𝑖𝑛</a:t>
              </a:r>
              <a:r>
                <a:rPr lang="en-US" sz="1100"/>
                <a:t> = </a:t>
              </a:r>
              <a:r>
                <a:rPr lang="en-US" sz="1100" b="0" i="0">
                  <a:latin typeface="Cambria Math" panose="02040503050406030204" pitchFamily="18" charset="0"/>
                </a:rPr>
                <a:t>1.4/𝑓_𝑦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17</xdr:col>
      <xdr:colOff>230256</xdr:colOff>
      <xdr:row>33</xdr:row>
      <xdr:rowOff>159856</xdr:rowOff>
    </xdr:from>
    <xdr:ext cx="1016753" cy="2400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4" name="TextBox 83">
              <a:extLst>
                <a:ext uri="{FF2B5EF4-FFF2-40B4-BE49-F238E27FC236}">
                  <a16:creationId xmlns:a16="http://schemas.microsoft.com/office/drawing/2014/main" id="{00000000-0008-0000-0000-000054000000}"/>
                </a:ext>
              </a:extLst>
            </xdr:cNvPr>
            <xdr:cNvSpPr txBox="1"/>
          </xdr:nvSpPr>
          <xdr:spPr>
            <a:xfrm>
              <a:off x="3468756" y="6398731"/>
              <a:ext cx="1016753" cy="2400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el-GR" sz="1100" i="1">
                          <a:latin typeface="Cambria Math" panose="02040503050406030204" pitchFamily="18" charset="0"/>
                        </a:rPr>
                        <m:t>ϕ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𝑉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𝑐</m:t>
                      </m:r>
                    </m:sub>
                  </m:sSub>
                </m:oMath>
              </a14:m>
              <a:r>
                <a:rPr lang="en-US" sz="1100"/>
                <a:t> = </a:t>
              </a:r>
              <a:r>
                <a:rPr lang="el-GR" sz="1100"/>
                <a:t>φ</a:t>
              </a:r>
              <a:r>
                <a:rPr lang="en-US" sz="1100"/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</a:rPr>
                        <m:t>6</m:t>
                      </m:r>
                    </m:den>
                  </m:f>
                  <m:rad>
                    <m:radPr>
                      <m:degHide m:val="on"/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sSub>
                        <m:sSubPr>
                          <m:ctrlPr>
                            <a:rPr lang="el-GR" sz="11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𝑓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′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𝑐</m:t>
                          </m:r>
                        </m:sub>
                      </m:sSub>
                    </m:e>
                  </m:rad>
                </m:oMath>
              </a14:m>
              <a:r>
                <a:rPr lang="en-US" sz="1100"/>
                <a:t> bd</a:t>
              </a:r>
            </a:p>
          </xdr:txBody>
        </xdr:sp>
      </mc:Choice>
      <mc:Fallback xmlns="">
        <xdr:sp macro="" textlink="">
          <xdr:nvSpPr>
            <xdr:cNvPr id="84" name="TextBox 83"/>
            <xdr:cNvSpPr txBox="1"/>
          </xdr:nvSpPr>
          <xdr:spPr>
            <a:xfrm>
              <a:off x="3468756" y="6398731"/>
              <a:ext cx="1016753" cy="2400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el-GR" sz="1100" i="0">
                  <a:latin typeface="Cambria Math" panose="02040503050406030204" pitchFamily="18" charset="0"/>
                </a:rPr>
                <a:t>ϕ</a:t>
              </a:r>
              <a:r>
                <a:rPr lang="en-US" sz="1100" b="0" i="0">
                  <a:latin typeface="Cambria Math" panose="02040503050406030204" pitchFamily="18" charset="0"/>
                </a:rPr>
                <a:t>𝑉〗_𝑐</a:t>
              </a:r>
              <a:r>
                <a:rPr lang="en-US" sz="1100"/>
                <a:t> = </a:t>
              </a:r>
              <a:r>
                <a:rPr lang="el-GR" sz="1100"/>
                <a:t>φ</a:t>
              </a:r>
              <a:r>
                <a:rPr lang="en-US" sz="1100"/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1</a:t>
              </a:r>
              <a:r>
                <a:rPr lang="el-GR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 panose="02040503050406030204" pitchFamily="18" charset="0"/>
                </a:rPr>
                <a:t>6</a:t>
              </a:r>
              <a:r>
                <a:rPr lang="el-GR" sz="1100" b="0" i="0">
                  <a:latin typeface="Cambria Math" panose="02040503050406030204" pitchFamily="18" charset="0"/>
                </a:rPr>
                <a:t> </a:t>
              </a:r>
              <a:r>
                <a:rPr lang="el-GR" sz="1100" i="0">
                  <a:latin typeface="Cambria Math" panose="02040503050406030204" pitchFamily="18" charset="0"/>
                </a:rPr>
                <a:t>√(〖</a:t>
              </a:r>
              <a:r>
                <a:rPr lang="en-US" sz="1100" b="0" i="0">
                  <a:latin typeface="Cambria Math" panose="02040503050406030204" pitchFamily="18" charset="0"/>
                </a:rPr>
                <a:t>𝑓′</a:t>
              </a:r>
              <a:r>
                <a:rPr lang="el-GR" sz="1100" b="0" i="0">
                  <a:latin typeface="Cambria Math" panose="02040503050406030204" pitchFamily="18" charset="0"/>
                </a:rPr>
                <a:t>〗_</a:t>
              </a:r>
              <a:r>
                <a:rPr lang="en-US" sz="1100" b="0" i="0">
                  <a:latin typeface="Cambria Math" panose="02040503050406030204" pitchFamily="18" charset="0"/>
                </a:rPr>
                <a:t>𝑐</a:t>
              </a:r>
              <a:r>
                <a:rPr lang="el-GR" sz="1100" b="0" i="0">
                  <a:latin typeface="Cambria Math" panose="02040503050406030204" pitchFamily="18" charset="0"/>
                </a:rPr>
                <a:t> )</a:t>
              </a:r>
              <a:r>
                <a:rPr lang="en-US" sz="1100"/>
                <a:t> bd</a:t>
              </a:r>
            </a:p>
          </xdr:txBody>
        </xdr:sp>
      </mc:Fallback>
    </mc:AlternateContent>
    <xdr:clientData/>
  </xdr:oneCellAnchor>
  <xdr:oneCellAnchor>
    <xdr:from>
      <xdr:col>21</xdr:col>
      <xdr:colOff>48039</xdr:colOff>
      <xdr:row>36</xdr:row>
      <xdr:rowOff>2485</xdr:rowOff>
    </xdr:from>
    <xdr:ext cx="16145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4" name="TextBox 93">
              <a:extLst>
                <a:ext uri="{FF2B5EF4-FFF2-40B4-BE49-F238E27FC236}">
                  <a16:creationId xmlns:a16="http://schemas.microsoft.com/office/drawing/2014/main" id="{00000000-0008-0000-0000-00005E000000}"/>
                </a:ext>
              </a:extLst>
            </xdr:cNvPr>
            <xdr:cNvSpPr txBox="1"/>
          </xdr:nvSpPr>
          <xdr:spPr>
            <a:xfrm>
              <a:off x="4263887" y="6819072"/>
              <a:ext cx="16145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𝑢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4" name="TextBox 93"/>
            <xdr:cNvSpPr txBox="1"/>
          </xdr:nvSpPr>
          <xdr:spPr>
            <a:xfrm>
              <a:off x="4263887" y="6819072"/>
              <a:ext cx="16145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𝑉_𝑢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19</xdr:col>
      <xdr:colOff>0</xdr:colOff>
      <xdr:row>36</xdr:row>
      <xdr:rowOff>0</xdr:rowOff>
    </xdr:from>
    <xdr:ext cx="24776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2" name="TextBox 111">
              <a:extLst>
                <a:ext uri="{FF2B5EF4-FFF2-40B4-BE49-F238E27FC236}">
                  <a16:creationId xmlns:a16="http://schemas.microsoft.com/office/drawing/2014/main" id="{00000000-0008-0000-0000-000070000000}"/>
                </a:ext>
              </a:extLst>
            </xdr:cNvPr>
            <xdr:cNvSpPr txBox="1"/>
          </xdr:nvSpPr>
          <xdr:spPr>
            <a:xfrm>
              <a:off x="3735457" y="6816587"/>
              <a:ext cx="24776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100" i="1">
                            <a:latin typeface="Cambria Math" panose="02040503050406030204" pitchFamily="18" charset="0"/>
                          </a:rPr>
                          <m:t>ϕ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12" name="TextBox 111"/>
            <xdr:cNvSpPr txBox="1"/>
          </xdr:nvSpPr>
          <xdr:spPr>
            <a:xfrm>
              <a:off x="3735457" y="6816587"/>
              <a:ext cx="24776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el-GR" sz="1100" i="0">
                  <a:latin typeface="Cambria Math" panose="02040503050406030204" pitchFamily="18" charset="0"/>
                </a:rPr>
                <a:t>ϕ</a:t>
              </a:r>
              <a:r>
                <a:rPr lang="en-US" sz="1100" b="0" i="0">
                  <a:latin typeface="Cambria Math" panose="02040503050406030204" pitchFamily="18" charset="0"/>
                </a:rPr>
                <a:t>𝑉〗_𝑐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23</xdr:col>
      <xdr:colOff>0</xdr:colOff>
      <xdr:row>35</xdr:row>
      <xdr:rowOff>82826</xdr:rowOff>
    </xdr:from>
    <xdr:ext cx="34939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3" name="TextBox 112">
              <a:extLst>
                <a:ext uri="{FF2B5EF4-FFF2-40B4-BE49-F238E27FC236}">
                  <a16:creationId xmlns:a16="http://schemas.microsoft.com/office/drawing/2014/main" id="{00000000-0008-0000-0000-000071000000}"/>
                </a:ext>
              </a:extLst>
            </xdr:cNvPr>
            <xdr:cNvSpPr txBox="1"/>
          </xdr:nvSpPr>
          <xdr:spPr>
            <a:xfrm>
              <a:off x="4696239" y="6708913"/>
              <a:ext cx="34939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100" i="1">
                            <a:latin typeface="Cambria Math" panose="02040503050406030204" pitchFamily="18" charset="0"/>
                          </a:rPr>
                          <m:t>ϕ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13" name="TextBox 112"/>
            <xdr:cNvSpPr txBox="1"/>
          </xdr:nvSpPr>
          <xdr:spPr>
            <a:xfrm>
              <a:off x="4696239" y="6708913"/>
              <a:ext cx="34939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1/2 </a:t>
              </a:r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el-GR" sz="1100" i="0">
                  <a:latin typeface="Cambria Math" panose="02040503050406030204" pitchFamily="18" charset="0"/>
                </a:rPr>
                <a:t>ϕ</a:t>
              </a:r>
              <a:r>
                <a:rPr lang="en-US" sz="1100" b="0" i="0">
                  <a:latin typeface="Cambria Math" panose="02040503050406030204" pitchFamily="18" charset="0"/>
                </a:rPr>
                <a:t>𝑉〗_𝑐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19</xdr:col>
      <xdr:colOff>97734</xdr:colOff>
      <xdr:row>37</xdr:row>
      <xdr:rowOff>168137</xdr:rowOff>
    </xdr:from>
    <xdr:ext cx="585288" cy="261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1" name="TextBox 110">
              <a:extLst>
                <a:ext uri="{FF2B5EF4-FFF2-40B4-BE49-F238E27FC236}">
                  <a16:creationId xmlns:a16="http://schemas.microsoft.com/office/drawing/2014/main" id="{00000000-0008-0000-0000-00006F000000}"/>
                </a:ext>
              </a:extLst>
            </xdr:cNvPr>
            <xdr:cNvSpPr txBox="1"/>
          </xdr:nvSpPr>
          <xdr:spPr>
            <a:xfrm>
              <a:off x="3833191" y="7746724"/>
              <a:ext cx="585288" cy="261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𝑉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</m:sub>
                  </m:sSub>
                </m:oMath>
              </a14:m>
              <a:r>
                <a:rPr lang="en-US" sz="1100"/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en-US" sz="11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𝑉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𝑢</m:t>
                          </m:r>
                        </m:sub>
                      </m:sSub>
                    </m:num>
                    <m:den>
                      <m:r>
                        <m:rPr>
                          <m:sty m:val="p"/>
                        </m:rPr>
                        <a:rPr lang="el-GR" sz="1100" i="1">
                          <a:latin typeface="Cambria Math" panose="02040503050406030204" pitchFamily="18" charset="0"/>
                        </a:rPr>
                        <m:t>ϕ</m:t>
                      </m:r>
                    </m:den>
                  </m:f>
                </m:oMath>
              </a14:m>
              <a:r>
                <a:rPr lang="en-US" sz="1100"/>
                <a:t> -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𝑉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𝑐</m:t>
                      </m:r>
                    </m:sub>
                  </m:sSub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111" name="TextBox 110"/>
            <xdr:cNvSpPr txBox="1"/>
          </xdr:nvSpPr>
          <xdr:spPr>
            <a:xfrm>
              <a:off x="3833191" y="7746724"/>
              <a:ext cx="585288" cy="261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𝑉_𝑠</a:t>
              </a:r>
              <a:r>
                <a:rPr lang="en-US" sz="1100"/>
                <a:t> = </a:t>
              </a:r>
              <a:r>
                <a:rPr lang="en-US" sz="1100" b="0" i="0">
                  <a:latin typeface="Cambria Math" panose="02040503050406030204" pitchFamily="18" charset="0"/>
                </a:rPr>
                <a:t>𝑉_𝑢/</a:t>
              </a:r>
              <a:r>
                <a:rPr lang="el-GR" sz="1100" i="0">
                  <a:latin typeface="Cambria Math" panose="02040503050406030204" pitchFamily="18" charset="0"/>
                </a:rPr>
                <a:t>ϕ</a:t>
              </a:r>
              <a:r>
                <a:rPr lang="en-US" sz="1100"/>
                <a:t> - </a:t>
              </a:r>
              <a:r>
                <a:rPr lang="en-US" sz="1100" b="0" i="0">
                  <a:latin typeface="Cambria Math" panose="02040503050406030204" pitchFamily="18" charset="0"/>
                </a:rPr>
                <a:t>𝑉_𝑐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19</xdr:col>
      <xdr:colOff>172277</xdr:colOff>
      <xdr:row>41</xdr:row>
      <xdr:rowOff>143290</xdr:rowOff>
    </xdr:from>
    <xdr:ext cx="512191" cy="3018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4" name="TextBox 113">
              <a:extLst>
                <a:ext uri="{FF2B5EF4-FFF2-40B4-BE49-F238E27FC236}">
                  <a16:creationId xmlns:a16="http://schemas.microsoft.com/office/drawing/2014/main" id="{00000000-0008-0000-0000-000072000000}"/>
                </a:ext>
              </a:extLst>
            </xdr:cNvPr>
            <xdr:cNvSpPr txBox="1"/>
          </xdr:nvSpPr>
          <xdr:spPr>
            <a:xfrm>
              <a:off x="3907734" y="7721877"/>
              <a:ext cx="512191" cy="3018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/>
                <a:t>s 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2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en-US" sz="12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𝐴</m:t>
                          </m:r>
                        </m:e>
                        <m:sub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𝑣</m:t>
                          </m:r>
                        </m:sub>
                      </m:sSub>
                      <m:sSub>
                        <m:sSubPr>
                          <m:ctrlPr>
                            <a:rPr lang="en-US" sz="12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𝑓</m:t>
                          </m:r>
                        </m:e>
                        <m:sub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𝑦</m:t>
                          </m:r>
                        </m:sub>
                      </m:sSub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𝑑</m:t>
                      </m:r>
                    </m:num>
                    <m:den>
                      <m:sSub>
                        <m:sSubPr>
                          <m:ctrlPr>
                            <a:rPr lang="en-US" sz="12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𝑉</m:t>
                          </m:r>
                        </m:e>
                        <m:sub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𝑠</m:t>
                          </m:r>
                        </m:sub>
                      </m:sSub>
                    </m:den>
                  </m:f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114" name="TextBox 113"/>
            <xdr:cNvSpPr txBox="1"/>
          </xdr:nvSpPr>
          <xdr:spPr>
            <a:xfrm>
              <a:off x="3907734" y="7721877"/>
              <a:ext cx="512191" cy="3018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/>
                <a:t>s = </a:t>
              </a:r>
              <a:r>
                <a:rPr lang="en-US" sz="1200" i="0">
                  <a:latin typeface="Cambria Math" panose="02040503050406030204" pitchFamily="18" charset="0"/>
                </a:rPr>
                <a:t>(</a:t>
              </a:r>
              <a:r>
                <a:rPr lang="en-US" sz="1200" b="0" i="0">
                  <a:latin typeface="Cambria Math" panose="02040503050406030204" pitchFamily="18" charset="0"/>
                </a:rPr>
                <a:t>𝐴_𝑣 𝑓_𝑦 𝑑)/𝑉_𝑠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21</xdr:col>
      <xdr:colOff>33130</xdr:colOff>
      <xdr:row>43</xdr:row>
      <xdr:rowOff>182218</xdr:rowOff>
    </xdr:from>
    <xdr:ext cx="43249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7" name="TextBox 116">
              <a:extLst>
                <a:ext uri="{FF2B5EF4-FFF2-40B4-BE49-F238E27FC236}">
                  <a16:creationId xmlns:a16="http://schemas.microsoft.com/office/drawing/2014/main" id="{00000000-0008-0000-0000-000075000000}"/>
                </a:ext>
              </a:extLst>
            </xdr:cNvPr>
            <xdr:cNvSpPr txBox="1"/>
          </xdr:nvSpPr>
          <xdr:spPr>
            <a:xfrm>
              <a:off x="4248978" y="8332305"/>
              <a:ext cx="43249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𝑆</m:t>
                      </m:r>
                    </m:e>
                    <m:sub>
                      <m:r>
                        <a:rPr lang="en-US" sz="1100" i="1">
                          <a:latin typeface="Cambria Math" panose="02040503050406030204" pitchFamily="18" charset="0"/>
                        </a:rPr>
                        <m:t>𝑚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𝑎𝑥</m:t>
                      </m:r>
                    </m:sub>
                  </m:sSub>
                </m:oMath>
              </a14:m>
              <a:r>
                <a:rPr lang="en-US" sz="1100"/>
                <a:t> = </a:t>
              </a:r>
            </a:p>
          </xdr:txBody>
        </xdr:sp>
      </mc:Choice>
      <mc:Fallback xmlns="">
        <xdr:sp macro="" textlink="">
          <xdr:nvSpPr>
            <xdr:cNvPr id="117" name="TextBox 116"/>
            <xdr:cNvSpPr txBox="1"/>
          </xdr:nvSpPr>
          <xdr:spPr>
            <a:xfrm>
              <a:off x="4248978" y="8332305"/>
              <a:ext cx="43249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𝑆_</a:t>
              </a:r>
              <a:r>
                <a:rPr lang="en-US" sz="1100" i="0">
                  <a:latin typeface="Cambria Math" panose="02040503050406030204" pitchFamily="18" charset="0"/>
                </a:rPr>
                <a:t>𝑚</a:t>
              </a:r>
              <a:r>
                <a:rPr lang="en-US" sz="1100" b="0" i="0">
                  <a:latin typeface="Cambria Math" panose="02040503050406030204" pitchFamily="18" charset="0"/>
                </a:rPr>
                <a:t>𝑎𝑥</a:t>
              </a:r>
              <a:r>
                <a:rPr lang="en-US" sz="1100"/>
                <a:t> = </a:t>
              </a:r>
            </a:p>
          </xdr:txBody>
        </xdr:sp>
      </mc:Fallback>
    </mc:AlternateContent>
    <xdr:clientData/>
  </xdr:oneCellAnchor>
  <xdr:oneCellAnchor>
    <xdr:from>
      <xdr:col>19</xdr:col>
      <xdr:colOff>91109</xdr:colOff>
      <xdr:row>39</xdr:row>
      <xdr:rowOff>173936</xdr:rowOff>
    </xdr:from>
    <xdr:ext cx="1155316" cy="2401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8" name="TextBox 117">
              <a:extLst>
                <a:ext uri="{FF2B5EF4-FFF2-40B4-BE49-F238E27FC236}">
                  <a16:creationId xmlns:a16="http://schemas.microsoft.com/office/drawing/2014/main" id="{00000000-0008-0000-0000-000076000000}"/>
                </a:ext>
              </a:extLst>
            </xdr:cNvPr>
            <xdr:cNvSpPr txBox="1"/>
          </xdr:nvSpPr>
          <xdr:spPr>
            <a:xfrm>
              <a:off x="3826566" y="7562023"/>
              <a:ext cx="1155316" cy="2401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𝑖𝑓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𝑉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</m:sub>
                  </m:sSub>
                </m:oMath>
              </a14:m>
              <a:r>
                <a:rPr lang="en-US" sz="1100"/>
                <a:t> </a:t>
              </a:r>
              <a14:m>
                <m:oMath xmlns:m="http://schemas.openxmlformats.org/officeDocument/2006/math">
                  <m:r>
                    <a:rPr lang="en-US" sz="11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≤</m:t>
                  </m:r>
                  <m:r>
                    <a:rPr lang="en-US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en-US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3</m:t>
                      </m:r>
                    </m:den>
                  </m:f>
                  <m:rad>
                    <m:radPr>
                      <m:degHide m:val="on"/>
                      <m:ctrlPr>
                        <a:rPr lang="en-US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radPr>
                    <m:deg/>
                    <m:e>
                      <m:sSub>
                        <m:sSubPr>
                          <m:ctrlPr>
                            <a:rPr lang="en-US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𝑓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′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𝑐</m:t>
                          </m:r>
                        </m:sub>
                      </m:sSub>
                    </m:e>
                  </m:rad>
                </m:oMath>
              </a14:m>
              <a:r>
                <a:rPr lang="en-US" sz="1100"/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𝑏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𝑤</m:t>
                      </m:r>
                    </m:sub>
                  </m:sSub>
                  <m:r>
                    <a:rPr lang="en-US" sz="1100" b="0" i="1">
                      <a:latin typeface="Cambria Math" panose="02040503050406030204" pitchFamily="18" charset="0"/>
                    </a:rPr>
                    <m:t>𝑑</m:t>
                  </m:r>
                </m:oMath>
              </a14:m>
              <a:r>
                <a:rPr lang="en-US" sz="1100"/>
                <a:t> </a:t>
              </a:r>
            </a:p>
          </xdr:txBody>
        </xdr:sp>
      </mc:Choice>
      <mc:Fallback xmlns="">
        <xdr:sp macro="" textlink="">
          <xdr:nvSpPr>
            <xdr:cNvPr id="118" name="TextBox 117"/>
            <xdr:cNvSpPr txBox="1"/>
          </xdr:nvSpPr>
          <xdr:spPr>
            <a:xfrm>
              <a:off x="3826566" y="7562023"/>
              <a:ext cx="1155316" cy="2401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𝑖𝑓 𝑉〗_𝑠</a:t>
              </a:r>
              <a:r>
                <a:rPr lang="en-US" sz="1100"/>
                <a:t> </a:t>
              </a:r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≤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2/3 √(〖𝑓′〗_𝑐 )</a:t>
              </a:r>
              <a:r>
                <a:rPr lang="en-US" sz="1100"/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𝑏_𝑤 𝑑</a:t>
              </a:r>
              <a:r>
                <a:rPr lang="en-US" sz="1100"/>
                <a:t> </a:t>
              </a:r>
            </a:p>
          </xdr:txBody>
        </xdr:sp>
      </mc:Fallback>
    </mc:AlternateContent>
    <xdr:clientData/>
  </xdr:oneCellAnchor>
  <xdr:oneCellAnchor>
    <xdr:from>
      <xdr:col>3</xdr:col>
      <xdr:colOff>91936</xdr:colOff>
      <xdr:row>55</xdr:row>
      <xdr:rowOff>124861</xdr:rowOff>
    </xdr:from>
    <xdr:ext cx="1632370" cy="3109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2" name="TextBox 371">
              <a:extLst>
                <a:ext uri="{FF2B5EF4-FFF2-40B4-BE49-F238E27FC236}">
                  <a16:creationId xmlns:a16="http://schemas.microsoft.com/office/drawing/2014/main" id="{00000000-0008-0000-0000-000074010000}"/>
                </a:ext>
              </a:extLst>
            </xdr:cNvPr>
            <xdr:cNvSpPr txBox="1"/>
          </xdr:nvSpPr>
          <xdr:spPr>
            <a:xfrm>
              <a:off x="634861" y="3696736"/>
              <a:ext cx="1632370" cy="3109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max </a:t>
              </a:r>
              <a14:m>
                <m:oMath xmlns:m="http://schemas.openxmlformats.org/officeDocument/2006/math">
                  <m:r>
                    <a:rPr lang="en-US" sz="1100" b="0" i="0">
                      <a:latin typeface="Cambria Math" panose="02040503050406030204" pitchFamily="18" charset="0"/>
                    </a:rPr>
                    <m:t>=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0.75</m:t>
                  </m:r>
                  <m:d>
                    <m:dPr>
                      <m:begChr m:val="["/>
                      <m:endChr m:val="]"/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n-US" sz="11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0.85</m:t>
                          </m:r>
                          <m:sSup>
                            <m:sSupPr>
                              <m:ctrlPr>
                                <a:rPr lang="en-US" sz="1100" b="0" i="1">
                                  <a:latin typeface="Cambria Math" panose="02040503050406030204" pitchFamily="18" charset="0"/>
                                </a:rPr>
                              </m:ctrlPr>
                            </m:sSupPr>
                            <m:e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𝑓</m:t>
                              </m:r>
                            </m:e>
                            <m:sup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′</m:t>
                              </m:r>
                            </m:sup>
                          </m:sSup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𝑐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 </m:t>
                          </m:r>
                          <m:sSub>
                            <m:sSubPr>
                              <m:ctrlPr>
                                <a:rPr lang="en-US" sz="1100" b="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m:rPr>
                                  <m:sty m:val="p"/>
                                </m:rPr>
                                <a:rPr lang="el-GR" sz="1100" b="0" i="1">
                                  <a:latin typeface="Cambria Math" panose="02040503050406030204" pitchFamily="18" charset="0"/>
                                </a:rPr>
                                <m:t>β</m:t>
                              </m:r>
                            </m:e>
                            <m:sub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1</m:t>
                              </m:r>
                            </m:sub>
                          </m:s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(600)</m:t>
                          </m:r>
                        </m:num>
                        <m:den>
                          <m:sSub>
                            <m:sSubPr>
                              <m:ctrlPr>
                                <a:rPr lang="en-US" sz="110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𝑓</m:t>
                              </m:r>
                            </m:e>
                            <m:sub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𝑦</m:t>
                              </m:r>
                            </m:sub>
                          </m:s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(600+</m:t>
                          </m:r>
                          <m:sSub>
                            <m:sSubPr>
                              <m:ctrlPr>
                                <a:rPr lang="en-US" sz="1100" b="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𝑓</m:t>
                              </m:r>
                            </m:e>
                            <m:sub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𝑦</m:t>
                              </m:r>
                            </m:sub>
                          </m:s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)</m:t>
                          </m:r>
                        </m:den>
                      </m:f>
                    </m:e>
                  </m:d>
                </m:oMath>
              </a14:m>
              <a:endParaRPr lang="en-US" sz="1050"/>
            </a:p>
          </xdr:txBody>
        </xdr:sp>
      </mc:Choice>
      <mc:Fallback xmlns="">
        <xdr:sp macro="" textlink="">
          <xdr:nvSpPr>
            <xdr:cNvPr id="372" name="TextBox 371"/>
            <xdr:cNvSpPr txBox="1"/>
          </xdr:nvSpPr>
          <xdr:spPr>
            <a:xfrm>
              <a:off x="634861" y="3696736"/>
              <a:ext cx="1632370" cy="3109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max </a:t>
              </a:r>
              <a:r>
                <a:rPr lang="en-US" sz="1100" b="0" i="0">
                  <a:latin typeface="Cambria Math" panose="02040503050406030204" pitchFamily="18" charset="0"/>
                </a:rPr>
                <a:t>=0.75</a:t>
              </a:r>
              <a:r>
                <a:rPr lang="en-US" sz="1100" i="0">
                  <a:latin typeface="Cambria Math" panose="02040503050406030204" pitchFamily="18" charset="0"/>
                </a:rPr>
                <a:t>[(</a:t>
              </a:r>
              <a:r>
                <a:rPr lang="en-US" sz="1100" b="0" i="0">
                  <a:latin typeface="Cambria Math" panose="02040503050406030204" pitchFamily="18" charset="0"/>
                </a:rPr>
                <a:t>0.85𝑓^′ 𝑐 </a:t>
              </a:r>
              <a:r>
                <a:rPr lang="el-GR" sz="1100" b="0" i="0">
                  <a:latin typeface="Cambria Math" panose="02040503050406030204" pitchFamily="18" charset="0"/>
                </a:rPr>
                <a:t>β</a:t>
              </a:r>
              <a:r>
                <a:rPr lang="en-US" sz="1100" b="0" i="0">
                  <a:latin typeface="Cambria Math" panose="02040503050406030204" pitchFamily="18" charset="0"/>
                </a:rPr>
                <a:t>_1 (600))/(𝑓_𝑦 (600+𝑓_𝑦))]</a:t>
              </a:r>
              <a:endParaRPr lang="en-US" sz="1050"/>
            </a:p>
          </xdr:txBody>
        </xdr:sp>
      </mc:Fallback>
    </mc:AlternateContent>
    <xdr:clientData/>
  </xdr:oneCellAnchor>
  <xdr:oneCellAnchor>
    <xdr:from>
      <xdr:col>3</xdr:col>
      <xdr:colOff>114300</xdr:colOff>
      <xdr:row>53</xdr:row>
      <xdr:rowOff>132314</xdr:rowOff>
    </xdr:from>
    <xdr:ext cx="510781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3" name="TextBox 372">
              <a:extLst>
                <a:ext uri="{FF2B5EF4-FFF2-40B4-BE49-F238E27FC236}">
                  <a16:creationId xmlns:a16="http://schemas.microsoft.com/office/drawing/2014/main" id="{00000000-0008-0000-0000-000075010000}"/>
                </a:ext>
              </a:extLst>
            </xdr:cNvPr>
            <xdr:cNvSpPr txBox="1"/>
          </xdr:nvSpPr>
          <xdr:spPr>
            <a:xfrm>
              <a:off x="657225" y="3323189"/>
              <a:ext cx="510781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max </a:t>
              </a:r>
              <a14:m>
                <m:oMath xmlns:m="http://schemas.openxmlformats.org/officeDocument/2006/math">
                  <m:r>
                    <a:rPr lang="en-US" sz="1200" b="0" i="1">
                      <a:latin typeface="Cambria Math" panose="02040503050406030204" pitchFamily="18" charset="0"/>
                    </a:rPr>
                    <m:t>=  </m:t>
                  </m:r>
                </m:oMath>
              </a14:m>
              <a:endParaRPr lang="en-US" sz="1050"/>
            </a:p>
          </xdr:txBody>
        </xdr:sp>
      </mc:Choice>
      <mc:Fallback xmlns="">
        <xdr:sp macro="" textlink="">
          <xdr:nvSpPr>
            <xdr:cNvPr id="373" name="TextBox 372"/>
            <xdr:cNvSpPr txBox="1"/>
          </xdr:nvSpPr>
          <xdr:spPr>
            <a:xfrm>
              <a:off x="657225" y="3323189"/>
              <a:ext cx="510781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max </a:t>
              </a:r>
              <a:r>
                <a:rPr lang="en-US" sz="1200" b="0" i="0">
                  <a:latin typeface="Cambria Math" panose="02040503050406030204" pitchFamily="18" charset="0"/>
                </a:rPr>
                <a:t>=  </a:t>
              </a:r>
              <a:endParaRPr lang="en-US" sz="1050"/>
            </a:p>
          </xdr:txBody>
        </xdr:sp>
      </mc:Fallback>
    </mc:AlternateContent>
    <xdr:clientData/>
  </xdr:oneCellAnchor>
  <xdr:oneCellAnchor>
    <xdr:from>
      <xdr:col>7</xdr:col>
      <xdr:colOff>175593</xdr:colOff>
      <xdr:row>53</xdr:row>
      <xdr:rowOff>127344</xdr:rowOff>
    </xdr:from>
    <xdr:ext cx="232884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4" name="TextBox 373">
              <a:extLst>
                <a:ext uri="{FF2B5EF4-FFF2-40B4-BE49-F238E27FC236}">
                  <a16:creationId xmlns:a16="http://schemas.microsoft.com/office/drawing/2014/main" id="{00000000-0008-0000-0000-000076010000}"/>
                </a:ext>
              </a:extLst>
            </xdr:cNvPr>
            <xdr:cNvSpPr txBox="1"/>
          </xdr:nvSpPr>
          <xdr:spPr>
            <a:xfrm>
              <a:off x="1442418" y="3318219"/>
              <a:ext cx="232884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b</a:t>
              </a:r>
              <a14:m>
                <m:oMath xmlns:m="http://schemas.openxmlformats.org/officeDocument/2006/math">
                  <m:r>
                    <a:rPr lang="en-US" sz="1200" b="0" i="1">
                      <a:latin typeface="Cambria Math" panose="02040503050406030204" pitchFamily="18" charset="0"/>
                    </a:rPr>
                    <m:t>  </m:t>
                  </m:r>
                </m:oMath>
              </a14:m>
              <a:endParaRPr lang="en-US" sz="1050"/>
            </a:p>
          </xdr:txBody>
        </xdr:sp>
      </mc:Choice>
      <mc:Fallback xmlns="">
        <xdr:sp macro="" textlink="">
          <xdr:nvSpPr>
            <xdr:cNvPr id="374" name="TextBox 373"/>
            <xdr:cNvSpPr txBox="1"/>
          </xdr:nvSpPr>
          <xdr:spPr>
            <a:xfrm>
              <a:off x="1442418" y="3318219"/>
              <a:ext cx="232884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b</a:t>
              </a:r>
              <a:r>
                <a:rPr lang="en-US" sz="1200" b="0" i="0">
                  <a:latin typeface="Cambria Math" panose="02040503050406030204" pitchFamily="18" charset="0"/>
                </a:rPr>
                <a:t>  </a:t>
              </a:r>
              <a:endParaRPr lang="en-US" sz="1050"/>
            </a:p>
          </xdr:txBody>
        </xdr:sp>
      </mc:Fallback>
    </mc:AlternateContent>
    <xdr:clientData/>
  </xdr:oneCellAnchor>
  <xdr:oneCellAnchor>
    <xdr:from>
      <xdr:col>4</xdr:col>
      <xdr:colOff>81168</xdr:colOff>
      <xdr:row>57</xdr:row>
      <xdr:rowOff>101877</xdr:rowOff>
    </xdr:from>
    <xdr:ext cx="626325" cy="3560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5" name="TextBox 374">
              <a:extLst>
                <a:ext uri="{FF2B5EF4-FFF2-40B4-BE49-F238E27FC236}">
                  <a16:creationId xmlns:a16="http://schemas.microsoft.com/office/drawing/2014/main" id="{00000000-0008-0000-0000-000077010000}"/>
                </a:ext>
              </a:extLst>
            </xdr:cNvPr>
            <xdr:cNvSpPr txBox="1"/>
          </xdr:nvSpPr>
          <xdr:spPr>
            <a:xfrm>
              <a:off x="805068" y="4054752"/>
              <a:ext cx="626325" cy="3560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l-GR" sz="1100" i="1">
                        <a:latin typeface="Cambria Math" panose="02040503050406030204" pitchFamily="18" charset="0"/>
                      </a:rPr>
                      <m:t>ω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100" b="0" i="1">
                        <a:latin typeface="Cambria Math" panose="02040503050406030204" pitchFamily="18" charset="0"/>
                      </a:rPr>
                      <m:t>ρ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75" name="TextBox 374"/>
            <xdr:cNvSpPr txBox="1"/>
          </xdr:nvSpPr>
          <xdr:spPr>
            <a:xfrm>
              <a:off x="805068" y="4054752"/>
              <a:ext cx="626325" cy="3560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100" i="0">
                  <a:latin typeface="Cambria Math" panose="02040503050406030204" pitchFamily="18" charset="0"/>
                </a:rPr>
                <a:t>ω</a:t>
              </a:r>
              <a:r>
                <a:rPr lang="en-US" sz="1100" b="0" i="0">
                  <a:latin typeface="Cambria Math" panose="02040503050406030204" pitchFamily="18" charset="0"/>
                </a:rPr>
                <a:t>= </a:t>
              </a:r>
              <a:r>
                <a:rPr lang="el-GR" sz="1100" b="0" i="0">
                  <a:latin typeface="Cambria Math" panose="02040503050406030204" pitchFamily="18" charset="0"/>
                </a:rPr>
                <a:t>ρ</a:t>
              </a:r>
              <a:r>
                <a:rPr lang="en-US" sz="1100" i="0">
                  <a:latin typeface="Cambria Math" panose="02040503050406030204" pitchFamily="18" charset="0"/>
                </a:rPr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𝑓_𝑦/〖𝑓′〗_𝑐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6626</xdr:colOff>
      <xdr:row>60</xdr:row>
      <xdr:rowOff>2486</xdr:rowOff>
    </xdr:from>
    <xdr:ext cx="1728358" cy="1971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6" name="TextBox 375">
              <a:extLst>
                <a:ext uri="{FF2B5EF4-FFF2-40B4-BE49-F238E27FC236}">
                  <a16:creationId xmlns:a16="http://schemas.microsoft.com/office/drawing/2014/main" id="{00000000-0008-0000-0000-000078010000}"/>
                </a:ext>
              </a:extLst>
            </xdr:cNvPr>
            <xdr:cNvSpPr txBox="1"/>
          </xdr:nvSpPr>
          <xdr:spPr>
            <a:xfrm>
              <a:off x="549551" y="4526861"/>
              <a:ext cx="1728358" cy="1971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𝑀</m:t>
                      </m:r>
                    </m:e>
                    <m:sub>
                      <m:sSub>
                        <m:sSubPr>
                          <m:ctrlPr>
                            <a:rPr lang="en-US" sz="11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𝑢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𝑚𝑎𝑥</m:t>
                          </m:r>
                        </m:sub>
                      </m:sSub>
                    </m:sub>
                  </m:sSub>
                </m:oMath>
              </a14:m>
              <a:r>
                <a:rPr lang="en-US" sz="1100"/>
                <a:t> </a:t>
              </a:r>
              <a:r>
                <a:rPr lang="en-US" sz="1200"/>
                <a:t>=</a:t>
              </a:r>
              <a:r>
                <a:rPr lang="en-US" sz="1100"/>
                <a:t> </a:t>
              </a:r>
              <a:r>
                <a:rPr lang="el-GR" sz="1100"/>
                <a:t>φ</a:t>
              </a:r>
              <a14:m>
                <m:oMath xmlns:m="http://schemas.openxmlformats.org/officeDocument/2006/math">
                  <m:sSub>
                    <m:sSubPr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𝑓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′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𝑐</m:t>
                      </m:r>
                    </m:sub>
                  </m:sSub>
                </m:oMath>
              </a14:m>
              <a:r>
                <a:rPr lang="el-GR" sz="1100"/>
                <a:t>ω</a:t>
              </a:r>
              <a:r>
                <a:rPr lang="en-US" sz="1100"/>
                <a:t>b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𝑑</m:t>
                      </m:r>
                    </m:e>
                    <m:sup>
                      <m:r>
                        <a:rPr lang="en-US" sz="1100" b="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r>
                <a:rPr lang="en-US" sz="1100"/>
                <a:t>(1</a:t>
              </a:r>
              <a:r>
                <a:rPr lang="en-US" sz="1100" baseline="0"/>
                <a:t> - 0.59</a:t>
              </a:r>
              <a:r>
                <a:rPr lang="el-GR" sz="1100" baseline="0"/>
                <a:t>ω</a:t>
              </a:r>
              <a:r>
                <a:rPr lang="en-US" sz="1100" baseline="0"/>
                <a:t>)</a:t>
              </a:r>
              <a:endParaRPr lang="en-US" sz="1100"/>
            </a:p>
          </xdr:txBody>
        </xdr:sp>
      </mc:Choice>
      <mc:Fallback xmlns="">
        <xdr:sp macro="" textlink="">
          <xdr:nvSpPr>
            <xdr:cNvPr id="376" name="TextBox 375"/>
            <xdr:cNvSpPr txBox="1"/>
          </xdr:nvSpPr>
          <xdr:spPr>
            <a:xfrm>
              <a:off x="549551" y="4526861"/>
              <a:ext cx="1728358" cy="1971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𝑀_(𝑢_𝑚𝑎𝑥 )</a:t>
              </a:r>
              <a:r>
                <a:rPr lang="en-US" sz="1100"/>
                <a:t> </a:t>
              </a:r>
              <a:r>
                <a:rPr lang="en-US" sz="1200"/>
                <a:t>=</a:t>
              </a:r>
              <a:r>
                <a:rPr lang="en-US" sz="1100"/>
                <a:t> </a:t>
              </a:r>
              <a:r>
                <a:rPr lang="el-GR" sz="1100"/>
                <a:t>φ</a:t>
              </a:r>
              <a:r>
                <a:rPr lang="el-GR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𝑓′</a:t>
              </a:r>
              <a:r>
                <a:rPr lang="el-GR" sz="1100" b="0" i="0">
                  <a:latin typeface="Cambria Math" panose="02040503050406030204" pitchFamily="18" charset="0"/>
                </a:rPr>
                <a:t>〗_</a:t>
              </a:r>
              <a:r>
                <a:rPr lang="en-US" sz="1100" b="0" i="0">
                  <a:latin typeface="Cambria Math" panose="02040503050406030204" pitchFamily="18" charset="0"/>
                </a:rPr>
                <a:t>𝑐</a:t>
              </a:r>
              <a:r>
                <a:rPr lang="el-GR" sz="1100"/>
                <a:t>ω</a:t>
              </a:r>
              <a:r>
                <a:rPr lang="en-US" sz="1100"/>
                <a:t>b</a:t>
              </a:r>
              <a:r>
                <a:rPr lang="en-US" sz="1100" b="0" i="0">
                  <a:latin typeface="Cambria Math" panose="02040503050406030204" pitchFamily="18" charset="0"/>
                </a:rPr>
                <a:t>𝑑^2</a:t>
              </a:r>
              <a:r>
                <a:rPr lang="en-US" sz="1100"/>
                <a:t>(1</a:t>
              </a:r>
              <a:r>
                <a:rPr lang="en-US" sz="1100" baseline="0"/>
                <a:t> - 0.59</a:t>
              </a:r>
              <a:r>
                <a:rPr lang="el-GR" sz="1100" baseline="0"/>
                <a:t>ω</a:t>
              </a:r>
              <a:r>
                <a:rPr lang="en-US" sz="1100" baseline="0"/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14909</xdr:colOff>
      <xdr:row>54</xdr:row>
      <xdr:rowOff>2486</xdr:rowOff>
    </xdr:from>
    <xdr:ext cx="17229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7" name="TextBox 376">
              <a:extLst>
                <a:ext uri="{FF2B5EF4-FFF2-40B4-BE49-F238E27FC236}">
                  <a16:creationId xmlns:a16="http://schemas.microsoft.com/office/drawing/2014/main" id="{00000000-0008-0000-0000-000079010000}"/>
                </a:ext>
              </a:extLst>
            </xdr:cNvPr>
            <xdr:cNvSpPr txBox="1"/>
          </xdr:nvSpPr>
          <xdr:spPr>
            <a:xfrm>
              <a:off x="2262809" y="3383861"/>
              <a:ext cx="1722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100" i="1">
                            <a:latin typeface="Cambria Math" panose="02040503050406030204" pitchFamily="18" charset="0"/>
                          </a:rPr>
                          <m:t>β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77" name="TextBox 376"/>
            <xdr:cNvSpPr txBox="1"/>
          </xdr:nvSpPr>
          <xdr:spPr>
            <a:xfrm>
              <a:off x="2262809" y="3383861"/>
              <a:ext cx="1722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100" i="0">
                  <a:latin typeface="Cambria Math" panose="02040503050406030204" pitchFamily="18" charset="0"/>
                </a:rPr>
                <a:t>β</a:t>
              </a:r>
              <a:r>
                <a:rPr lang="en-US" sz="110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1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25</xdr:col>
      <xdr:colOff>64476</xdr:colOff>
      <xdr:row>63</xdr:row>
      <xdr:rowOff>49824</xdr:rowOff>
    </xdr:from>
    <xdr:to>
      <xdr:col>26</xdr:col>
      <xdr:colOff>87923</xdr:colOff>
      <xdr:row>63</xdr:row>
      <xdr:rowOff>51288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CxnSpPr/>
      </xdr:nvCxnSpPr>
      <xdr:spPr>
        <a:xfrm>
          <a:off x="5217501" y="5145699"/>
          <a:ext cx="261572" cy="14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53</xdr:row>
      <xdr:rowOff>36635</xdr:rowOff>
    </xdr:from>
    <xdr:to>
      <xdr:col>26</xdr:col>
      <xdr:colOff>0</xdr:colOff>
      <xdr:row>63</xdr:row>
      <xdr:rowOff>36635</xdr:rowOff>
    </xdr:to>
    <xdr:cxnSp macro="">
      <xdr:nvCxnSpPr>
        <xdr:cNvPr id="379" name="Straight Arrow Connector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CxnSpPr/>
      </xdr:nvCxnSpPr>
      <xdr:spPr>
        <a:xfrm>
          <a:off x="5391150" y="3227510"/>
          <a:ext cx="0" cy="19050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55684</xdr:colOff>
      <xdr:row>53</xdr:row>
      <xdr:rowOff>11724</xdr:rowOff>
    </xdr:from>
    <xdr:to>
      <xdr:col>26</xdr:col>
      <xdr:colOff>79131</xdr:colOff>
      <xdr:row>53</xdr:row>
      <xdr:rowOff>13188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CxnSpPr/>
      </xdr:nvCxnSpPr>
      <xdr:spPr>
        <a:xfrm>
          <a:off x="5208709" y="3202599"/>
          <a:ext cx="261572" cy="14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19049</xdr:colOff>
      <xdr:row>63</xdr:row>
      <xdr:rowOff>121628</xdr:rowOff>
    </xdr:from>
    <xdr:to>
      <xdr:col>20</xdr:col>
      <xdr:colOff>21981</xdr:colOff>
      <xdr:row>65</xdr:row>
      <xdr:rowOff>109904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CxnSpPr/>
      </xdr:nvCxnSpPr>
      <xdr:spPr>
        <a:xfrm>
          <a:off x="3981449" y="5217503"/>
          <a:ext cx="2932" cy="36927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51289</xdr:colOff>
      <xdr:row>65</xdr:row>
      <xdr:rowOff>7327</xdr:rowOff>
    </xdr:from>
    <xdr:to>
      <xdr:col>24</xdr:col>
      <xdr:colOff>205154</xdr:colOff>
      <xdr:row>65</xdr:row>
      <xdr:rowOff>7328</xdr:rowOff>
    </xdr:to>
    <xdr:cxnSp macro="">
      <xdr:nvCxnSpPr>
        <xdr:cNvPr id="382" name="Straight Arrow Connector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CxnSpPr/>
      </xdr:nvCxnSpPr>
      <xdr:spPr>
        <a:xfrm flipH="1">
          <a:off x="4013689" y="5484202"/>
          <a:ext cx="110636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222738</xdr:colOff>
      <xdr:row>63</xdr:row>
      <xdr:rowOff>127490</xdr:rowOff>
    </xdr:from>
    <xdr:to>
      <xdr:col>24</xdr:col>
      <xdr:colOff>225670</xdr:colOff>
      <xdr:row>65</xdr:row>
      <xdr:rowOff>115766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CxnSpPr/>
      </xdr:nvCxnSpPr>
      <xdr:spPr>
        <a:xfrm>
          <a:off x="5137638" y="5223365"/>
          <a:ext cx="2932" cy="36927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26278</xdr:colOff>
      <xdr:row>53</xdr:row>
      <xdr:rowOff>26276</xdr:rowOff>
    </xdr:from>
    <xdr:to>
      <xdr:col>24</xdr:col>
      <xdr:colOff>229914</xdr:colOff>
      <xdr:row>63</xdr:row>
      <xdr:rowOff>52551</xdr:rowOff>
    </xdr:to>
    <xdr:graphicFrame macro="">
      <xdr:nvGraphicFramePr>
        <xdr:cNvPr id="384" name="Chart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151086</xdr:colOff>
      <xdr:row>53</xdr:row>
      <xdr:rowOff>157655</xdr:rowOff>
    </xdr:from>
    <xdr:to>
      <xdr:col>24</xdr:col>
      <xdr:colOff>111671</xdr:colOff>
      <xdr:row>62</xdr:row>
      <xdr:rowOff>124810</xdr:rowOff>
    </xdr:to>
    <xdr:sp macro="" textlink="">
      <xdr:nvSpPr>
        <xdr:cNvPr id="385" name="Rectangle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4113486" y="3348530"/>
          <a:ext cx="913085" cy="1681655"/>
        </a:xfrm>
        <a:prstGeom prst="rect">
          <a:avLst/>
        </a:prstGeom>
        <a:noFill/>
        <a:ln w="2540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3</xdr:col>
      <xdr:colOff>25191</xdr:colOff>
      <xdr:row>63</xdr:row>
      <xdr:rowOff>145004</xdr:rowOff>
    </xdr:from>
    <xdr:ext cx="699359" cy="2848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6" name="TextBox 385">
              <a:extLst>
                <a:ext uri="{FF2B5EF4-FFF2-40B4-BE49-F238E27FC236}">
                  <a16:creationId xmlns:a16="http://schemas.microsoft.com/office/drawing/2014/main" id="{00000000-0008-0000-0000-000082010000}"/>
                </a:ext>
              </a:extLst>
            </xdr:cNvPr>
            <xdr:cNvSpPr txBox="1"/>
          </xdr:nvSpPr>
          <xdr:spPr>
            <a:xfrm>
              <a:off x="568116" y="5240879"/>
              <a:ext cx="699359" cy="2848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2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𝑅</m:t>
                      </m:r>
                    </m:e>
                    <m:sub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𝑢</m:t>
                      </m:r>
                    </m:sub>
                  </m:sSub>
                </m:oMath>
              </a14:m>
              <a:r>
                <a:rPr lang="en-US" sz="1200"/>
                <a:t> </a:t>
              </a:r>
              <a:r>
                <a:rPr lang="en-US" sz="1400"/>
                <a:t>=</a:t>
              </a:r>
              <a:r>
                <a:rPr lang="en-US" sz="1200"/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2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en-US" sz="12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𝑀</m:t>
                          </m:r>
                        </m:e>
                        <m:sub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𝑢</m:t>
                          </m:r>
                        </m:sub>
                      </m:sSub>
                    </m:num>
                    <m:den>
                      <m:r>
                        <m:rPr>
                          <m:sty m:val="p"/>
                        </m:rPr>
                        <a:rPr lang="el-GR" sz="1200" i="1">
                          <a:latin typeface="Cambria Math" panose="02040503050406030204" pitchFamily="18" charset="0"/>
                        </a:rPr>
                        <m:t>ϕ</m:t>
                      </m:r>
                      <m:r>
                        <a:rPr lang="en-US" sz="12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𝑏</m:t>
                      </m:r>
                      <m:r>
                        <a:rPr lang="en-US" sz="1200" b="0" i="1">
                          <a:latin typeface="Cambria Math" panose="02040503050406030204" pitchFamily="18" charset="0"/>
                        </a:rPr>
                        <m:t> </m:t>
                      </m:r>
                      <m:sSup>
                        <m:sSupPr>
                          <m:ctrlPr>
                            <a:rPr lang="en-US" sz="1200" b="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𝑑</m:t>
                          </m:r>
                        </m:e>
                        <m:sup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  <m:r>
                        <a:rPr lang="en-US" sz="1200" b="0" i="1">
                          <a:latin typeface="Cambria Math" panose="02040503050406030204" pitchFamily="18" charset="0"/>
                        </a:rPr>
                        <m:t> </m:t>
                      </m:r>
                    </m:den>
                  </m:f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386" name="TextBox 385"/>
            <xdr:cNvSpPr txBox="1"/>
          </xdr:nvSpPr>
          <xdr:spPr>
            <a:xfrm>
              <a:off x="568116" y="5240879"/>
              <a:ext cx="699359" cy="2848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200" b="0" i="0">
                  <a:latin typeface="Cambria Math" panose="02040503050406030204" pitchFamily="18" charset="0"/>
                </a:rPr>
                <a:t>𝑅_𝑢</a:t>
              </a:r>
              <a:r>
                <a:rPr lang="en-US" sz="1200"/>
                <a:t> </a:t>
              </a:r>
              <a:r>
                <a:rPr lang="en-US" sz="1400"/>
                <a:t>=</a:t>
              </a:r>
              <a:r>
                <a:rPr lang="en-US" sz="1200"/>
                <a:t> </a:t>
              </a:r>
              <a:r>
                <a:rPr lang="en-US" sz="1200" b="0" i="0">
                  <a:latin typeface="Cambria Math" panose="02040503050406030204" pitchFamily="18" charset="0"/>
                </a:rPr>
                <a:t>𝑀_𝑢/(</a:t>
              </a:r>
              <a:r>
                <a:rPr lang="el-GR" sz="1200" i="0">
                  <a:latin typeface="Cambria Math" panose="02040503050406030204" pitchFamily="18" charset="0"/>
                </a:rPr>
                <a:t>ϕ</a:t>
              </a:r>
              <a:r>
                <a:rPr lang="en-US" sz="1200" b="0" i="0">
                  <a:latin typeface="Cambria Math" panose="02040503050406030204" pitchFamily="18" charset="0"/>
                </a:rPr>
                <a:t> 𝑏 𝑑^2 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38329</xdr:colOff>
      <xdr:row>65</xdr:row>
      <xdr:rowOff>85884</xdr:rowOff>
    </xdr:from>
    <xdr:ext cx="1878848" cy="3767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7" name="TextBox 386">
              <a:extLst>
                <a:ext uri="{FF2B5EF4-FFF2-40B4-BE49-F238E27FC236}">
                  <a16:creationId xmlns:a16="http://schemas.microsoft.com/office/drawing/2014/main" id="{00000000-0008-0000-0000-000083010000}"/>
                </a:ext>
              </a:extLst>
            </xdr:cNvPr>
            <xdr:cNvSpPr txBox="1"/>
          </xdr:nvSpPr>
          <xdr:spPr>
            <a:xfrm>
              <a:off x="581254" y="5562759"/>
              <a:ext cx="1878848" cy="3767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 </a:t>
              </a:r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</a:rPr>
                        <m:t>0.85 </m:t>
                      </m:r>
                      <m:sSub>
                        <m:sSubPr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𝑓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′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𝑐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𝑓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𝑦</m:t>
                          </m:r>
                        </m:sub>
                      </m:sSub>
                    </m:den>
                  </m:f>
                  <m:r>
                    <a:rPr lang="en-US" sz="1100" b="0" i="1">
                      <a:latin typeface="Cambria Math" panose="02040503050406030204" pitchFamily="18" charset="0"/>
                    </a:rPr>
                    <m:t> </m:t>
                  </m:r>
                  <m:d>
                    <m:dPr>
                      <m:begChr m:val="["/>
                      <m:endChr m:val="]"/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1−</m:t>
                      </m:r>
                      <m:rad>
                        <m:radPr>
                          <m:degHide m:val="on"/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radPr>
                        <m:deg/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1−</m:t>
                          </m:r>
                          <m:f>
                            <m:fPr>
                              <m:ctrlPr>
                                <a:rPr lang="en-US" sz="1100" b="0" i="1">
                                  <a:latin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2</m:t>
                              </m:r>
                              <m:sSub>
                                <m:sSubPr>
                                  <m:ctrlP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</m:ctrlPr>
                                </m:sSubPr>
                                <m:e>
                                  <m: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  <m:t>𝑅</m:t>
                                  </m:r>
                                </m:e>
                                <m:sub>
                                  <m: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  <m:t>𝑢</m:t>
                                  </m:r>
                                </m:sub>
                              </m:sSub>
                            </m:num>
                            <m:den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0.85</m:t>
                              </m:r>
                              <m:sSub>
                                <m:sSubPr>
                                  <m:ctrlP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</m:ctrlPr>
                                </m:sSubPr>
                                <m:e>
                                  <m: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  <m:t>𝑓</m:t>
                                  </m:r>
                                  <m: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  <m:t>′</m:t>
                                  </m:r>
                                </m:e>
                                <m:sub>
                                  <m: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  <m:t>𝑐</m:t>
                                  </m:r>
                                </m:sub>
                              </m:sSub>
                            </m:den>
                          </m:f>
                        </m:e>
                      </m:rad>
                    </m:e>
                  </m:d>
                  <m:r>
                    <a:rPr lang="en-US" sz="1100" b="0" i="1">
                      <a:latin typeface="Cambria Math" panose="02040503050406030204" pitchFamily="18" charset="0"/>
                    </a:rPr>
                    <m:t>   </m:t>
                  </m:r>
                </m:oMath>
              </a14:m>
              <a:endParaRPr lang="en-US" sz="1050"/>
            </a:p>
          </xdr:txBody>
        </xdr:sp>
      </mc:Choice>
      <mc:Fallback xmlns="">
        <xdr:sp macro="" textlink="">
          <xdr:nvSpPr>
            <xdr:cNvPr id="387" name="TextBox 386"/>
            <xdr:cNvSpPr txBox="1"/>
          </xdr:nvSpPr>
          <xdr:spPr>
            <a:xfrm>
              <a:off x="581254" y="5562759"/>
              <a:ext cx="1878848" cy="3767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=  (0.85 〖𝑓′〗_𝑐)/𝑓_𝑦   [1−√(1−(2𝑅_𝑢)/(0.85〖𝑓′〗_𝑐 ))]    </a:t>
              </a:r>
              <a:endParaRPr lang="en-US" sz="1050"/>
            </a:p>
          </xdr:txBody>
        </xdr:sp>
      </mc:Fallback>
    </mc:AlternateContent>
    <xdr:clientData/>
  </xdr:oneCellAnchor>
  <xdr:oneCellAnchor>
    <xdr:from>
      <xdr:col>3</xdr:col>
      <xdr:colOff>99392</xdr:colOff>
      <xdr:row>71</xdr:row>
      <xdr:rowOff>8282</xdr:rowOff>
    </xdr:from>
    <xdr:ext cx="79194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8" name="TextBox 387">
              <a:extLst>
                <a:ext uri="{FF2B5EF4-FFF2-40B4-BE49-F238E27FC236}">
                  <a16:creationId xmlns:a16="http://schemas.microsoft.com/office/drawing/2014/main" id="{00000000-0008-0000-0000-000084010000}"/>
                </a:ext>
              </a:extLst>
            </xdr:cNvPr>
            <xdr:cNvSpPr txBox="1"/>
          </xdr:nvSpPr>
          <xdr:spPr>
            <a:xfrm>
              <a:off x="642317" y="6628157"/>
              <a:ext cx="7919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</m:oMath>
              </a14:m>
              <a:r>
                <a:rPr lang="en-US" sz="1100"/>
                <a:t> =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el-GR" sz="1100" i="1">
                          <a:latin typeface="Cambria Math" panose="02040503050406030204" pitchFamily="18" charset="0"/>
                        </a:rPr>
                        <m:t>ρ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𝑚𝑎𝑥</m:t>
                      </m:r>
                    </m:sub>
                  </m:sSub>
                </m:oMath>
              </a14:m>
              <a:r>
                <a:rPr lang="en-US" sz="1100"/>
                <a:t>bd</a:t>
              </a:r>
            </a:p>
          </xdr:txBody>
        </xdr:sp>
      </mc:Choice>
      <mc:Fallback xmlns="">
        <xdr:sp macro="" textlink="">
          <xdr:nvSpPr>
            <xdr:cNvPr id="388" name="TextBox 387"/>
            <xdr:cNvSpPr txBox="1"/>
          </xdr:nvSpPr>
          <xdr:spPr>
            <a:xfrm>
              <a:off x="642317" y="6628157"/>
              <a:ext cx="7919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𝐴_𝑠1</a:t>
              </a:r>
              <a:r>
                <a:rPr lang="en-US" sz="1100"/>
                <a:t> = </a:t>
              </a:r>
              <a:r>
                <a:rPr lang="el-GR" sz="1100" i="0">
                  <a:latin typeface="Cambria Math" panose="02040503050406030204" pitchFamily="18" charset="0"/>
                </a:rPr>
                <a:t>ρ</a:t>
              </a:r>
              <a:r>
                <a:rPr lang="en-US" sz="110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𝑚𝑎𝑥</a:t>
              </a:r>
              <a:r>
                <a:rPr lang="en-US" sz="1100"/>
                <a:t>bd</a:t>
              </a:r>
            </a:p>
          </xdr:txBody>
        </xdr:sp>
      </mc:Fallback>
    </mc:AlternateContent>
    <xdr:clientData/>
  </xdr:oneCellAnchor>
  <xdr:oneCellAnchor>
    <xdr:from>
      <xdr:col>3</xdr:col>
      <xdr:colOff>99391</xdr:colOff>
      <xdr:row>72</xdr:row>
      <xdr:rowOff>0</xdr:rowOff>
    </xdr:from>
    <xdr:ext cx="1111266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9" name="TextBox 388">
              <a:extLst>
                <a:ext uri="{FF2B5EF4-FFF2-40B4-BE49-F238E27FC236}">
                  <a16:creationId xmlns:a16="http://schemas.microsoft.com/office/drawing/2014/main" id="{00000000-0008-0000-0000-000085010000}"/>
                </a:ext>
              </a:extLst>
            </xdr:cNvPr>
            <xdr:cNvSpPr txBox="1"/>
          </xdr:nvSpPr>
          <xdr:spPr>
            <a:xfrm>
              <a:off x="642316" y="6810375"/>
              <a:ext cx="1111266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/>
                <a:t>0.85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𝑎𝑏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=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𝑓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𝑦</m:t>
                      </m:r>
                    </m:sub>
                  </m:sSub>
                  <m:sSubSup>
                    <m:sSubSup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𝑓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𝑐</m:t>
                      </m:r>
                    </m:sub>
                    <m:sup>
                      <m:r>
                        <a:rPr lang="en-US" sz="1100" b="0" i="1">
                          <a:latin typeface="Cambria Math" panose="02040503050406030204" pitchFamily="18" charset="0"/>
                        </a:rPr>
                        <m:t>′</m:t>
                      </m:r>
                    </m:sup>
                  </m:sSubSup>
                </m:oMath>
              </a14:m>
              <a:r>
                <a:rPr lang="en-US" sz="1100"/>
                <a:t> </a:t>
              </a:r>
            </a:p>
          </xdr:txBody>
        </xdr:sp>
      </mc:Choice>
      <mc:Fallback xmlns="">
        <xdr:sp macro="" textlink="">
          <xdr:nvSpPr>
            <xdr:cNvPr id="389" name="TextBox 388"/>
            <xdr:cNvSpPr txBox="1"/>
          </xdr:nvSpPr>
          <xdr:spPr>
            <a:xfrm>
              <a:off x="642316" y="6810375"/>
              <a:ext cx="1111266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/>
                <a:t>0.85</a:t>
              </a:r>
              <a:r>
                <a:rPr lang="en-US" sz="1100" b="0" i="0">
                  <a:latin typeface="Cambria Math" panose="02040503050406030204" pitchFamily="18" charset="0"/>
                </a:rPr>
                <a:t>𝑓_𝑐^′</a:t>
              </a:r>
              <a:r>
                <a:rPr lang="en-US" sz="1100" i="0">
                  <a:latin typeface="Cambria Math" panose="02040503050406030204" pitchFamily="18" charset="0"/>
                </a:rPr>
                <a:t>﷮﷯〖</a:t>
              </a:r>
              <a:r>
                <a:rPr lang="en-US" sz="1100" b="0" i="0">
                  <a:latin typeface="Cambria Math" panose="02040503050406030204" pitchFamily="18" charset="0"/>
                </a:rPr>
                <a:t> 𝑎𝑏=𝐴〗_𝑠1 𝑓_𝑦</a:t>
              </a:r>
              <a:r>
                <a:rPr lang="en-US" sz="1100"/>
                <a:t> </a:t>
              </a:r>
            </a:p>
          </xdr:txBody>
        </xdr:sp>
      </mc:Fallback>
    </mc:AlternateContent>
    <xdr:clientData/>
  </xdr:oneCellAnchor>
  <xdr:oneCellAnchor>
    <xdr:from>
      <xdr:col>3</xdr:col>
      <xdr:colOff>107674</xdr:colOff>
      <xdr:row>74</xdr:row>
      <xdr:rowOff>0</xdr:rowOff>
    </xdr:from>
    <xdr:ext cx="1258230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0" name="TextBox 389">
              <a:extLst>
                <a:ext uri="{FF2B5EF4-FFF2-40B4-BE49-F238E27FC236}">
                  <a16:creationId xmlns:a16="http://schemas.microsoft.com/office/drawing/2014/main" id="{00000000-0008-0000-0000-000086010000}"/>
                </a:ext>
              </a:extLst>
            </xdr:cNvPr>
            <xdr:cNvSpPr txBox="1"/>
          </xdr:nvSpPr>
          <xdr:spPr>
            <a:xfrm>
              <a:off x="650599" y="7191375"/>
              <a:ext cx="125823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𝑀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𝑢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</m:oMath>
              </a14:m>
              <a:r>
                <a:rPr lang="en-US" sz="1100"/>
                <a:t>= </a:t>
              </a:r>
              <a:r>
                <a:rPr lang="el-GR" sz="1100"/>
                <a:t>φ</a:t>
              </a:r>
              <a14:m>
                <m:oMath xmlns:m="http://schemas.openxmlformats.org/officeDocument/2006/math">
                  <m:sSub>
                    <m:sSubPr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  <m:sSub>
                    <m:sSubPr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𝑓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𝑦</m:t>
                      </m:r>
                    </m:sub>
                  </m:sSub>
                </m:oMath>
              </a14:m>
              <a:r>
                <a:rPr lang="en-US" sz="1100"/>
                <a:t>(d</a:t>
              </a:r>
              <a:r>
                <a:rPr lang="en-US" sz="1100" baseline="0"/>
                <a:t> - a/2)</a:t>
              </a:r>
              <a:r>
                <a:rPr lang="en-US" sz="1100"/>
                <a:t> </a:t>
              </a:r>
            </a:p>
          </xdr:txBody>
        </xdr:sp>
      </mc:Choice>
      <mc:Fallback xmlns="">
        <xdr:sp macro="" textlink="">
          <xdr:nvSpPr>
            <xdr:cNvPr id="390" name="TextBox 389"/>
            <xdr:cNvSpPr txBox="1"/>
          </xdr:nvSpPr>
          <xdr:spPr>
            <a:xfrm>
              <a:off x="650599" y="7191375"/>
              <a:ext cx="125823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𝑀_𝑢1</a:t>
              </a:r>
              <a:r>
                <a:rPr lang="en-US" sz="1100"/>
                <a:t>= </a:t>
              </a:r>
              <a:r>
                <a:rPr lang="el-GR" sz="1100"/>
                <a:t>φ</a:t>
              </a:r>
              <a:r>
                <a:rPr lang="en-US" sz="1100" b="0" i="0">
                  <a:latin typeface="Cambria Math" panose="02040503050406030204" pitchFamily="18" charset="0"/>
                </a:rPr>
                <a:t>𝐴</a:t>
              </a:r>
              <a:r>
                <a:rPr lang="el-GR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𝑠1</a:t>
              </a:r>
              <a:r>
                <a:rPr lang="el-GR" sz="1100" b="0" i="0">
                  <a:latin typeface="Cambria Math" panose="02040503050406030204" pitchFamily="18" charset="0"/>
                </a:rPr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𝑓</a:t>
              </a:r>
              <a:r>
                <a:rPr lang="el-GR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𝑦</a:t>
              </a:r>
              <a:r>
                <a:rPr lang="en-US" sz="1100"/>
                <a:t>(d</a:t>
              </a:r>
              <a:r>
                <a:rPr lang="en-US" sz="1100" baseline="0"/>
                <a:t> - a/2)</a:t>
              </a:r>
              <a:r>
                <a:rPr lang="en-US" sz="1100"/>
                <a:t> </a:t>
              </a:r>
            </a:p>
          </xdr:txBody>
        </xdr:sp>
      </mc:Fallback>
    </mc:AlternateContent>
    <xdr:clientData/>
  </xdr:oneCellAnchor>
  <xdr:oneCellAnchor>
    <xdr:from>
      <xdr:col>3</xdr:col>
      <xdr:colOff>99392</xdr:colOff>
      <xdr:row>75</xdr:row>
      <xdr:rowOff>0</xdr:rowOff>
    </xdr:from>
    <xdr:ext cx="89672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1" name="TextBox 390">
              <a:extLst>
                <a:ext uri="{FF2B5EF4-FFF2-40B4-BE49-F238E27FC236}">
                  <a16:creationId xmlns:a16="http://schemas.microsoft.com/office/drawing/2014/main" id="{00000000-0008-0000-0000-000087010000}"/>
                </a:ext>
              </a:extLst>
            </xdr:cNvPr>
            <xdr:cNvSpPr txBox="1"/>
          </xdr:nvSpPr>
          <xdr:spPr>
            <a:xfrm>
              <a:off x="642317" y="7381875"/>
              <a:ext cx="89672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𝑀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𝑢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2</m:t>
                      </m:r>
                    </m:sub>
                  </m:sSub>
                </m:oMath>
              </a14:m>
              <a:r>
                <a:rPr lang="en-US" sz="1100"/>
                <a:t>=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𝑀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𝑢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 − </m:t>
                      </m:r>
                    </m:sub>
                  </m:sSub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𝑀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𝑢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391" name="TextBox 390"/>
            <xdr:cNvSpPr txBox="1"/>
          </xdr:nvSpPr>
          <xdr:spPr>
            <a:xfrm>
              <a:off x="642317" y="7381875"/>
              <a:ext cx="89672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𝑀_𝑢2</a:t>
              </a:r>
              <a:r>
                <a:rPr lang="en-US" sz="1100"/>
                <a:t>= </a:t>
              </a:r>
              <a:r>
                <a:rPr lang="en-US" sz="1100" b="0" i="0">
                  <a:latin typeface="Cambria Math" panose="02040503050406030204" pitchFamily="18" charset="0"/>
                </a:rPr>
                <a:t>𝑀_(𝑢 − ) 𝑀_𝑢1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99391</xdr:colOff>
      <xdr:row>76</xdr:row>
      <xdr:rowOff>0</xdr:rowOff>
    </xdr:from>
    <xdr:ext cx="1172244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2" name="TextBox 391">
              <a:extLst>
                <a:ext uri="{FF2B5EF4-FFF2-40B4-BE49-F238E27FC236}">
                  <a16:creationId xmlns:a16="http://schemas.microsoft.com/office/drawing/2014/main" id="{00000000-0008-0000-0000-000088010000}"/>
                </a:ext>
              </a:extLst>
            </xdr:cNvPr>
            <xdr:cNvSpPr txBox="1"/>
          </xdr:nvSpPr>
          <xdr:spPr>
            <a:xfrm>
              <a:off x="642316" y="7572375"/>
              <a:ext cx="1172244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𝑀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𝑢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2</m:t>
                      </m:r>
                    </m:sub>
                  </m:sSub>
                </m:oMath>
              </a14:m>
              <a:r>
                <a:rPr lang="en-US" sz="1100"/>
                <a:t>= </a:t>
              </a:r>
              <a:r>
                <a:rPr lang="el-GR" sz="1100"/>
                <a:t>φ</a:t>
              </a:r>
              <a14:m>
                <m:oMath xmlns:m="http://schemas.openxmlformats.org/officeDocument/2006/math">
                  <m:sSub>
                    <m:sSubPr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2</m:t>
                      </m:r>
                    </m:sub>
                  </m:sSub>
                  <m:sSub>
                    <m:sSubPr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𝑓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𝑦</m:t>
                      </m:r>
                    </m:sub>
                  </m:sSub>
                </m:oMath>
              </a14:m>
              <a:r>
                <a:rPr lang="en-US" sz="1100"/>
                <a:t>(d</a:t>
              </a:r>
              <a:r>
                <a:rPr lang="en-US" sz="1100" baseline="0"/>
                <a:t> -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i="1" baseline="0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 baseline="0">
                          <a:latin typeface="Cambria Math" panose="02040503050406030204" pitchFamily="18" charset="0"/>
                        </a:rPr>
                        <m:t>𝑑</m:t>
                      </m:r>
                    </m:e>
                    <m:sub>
                      <m:r>
                        <a:rPr lang="en-US" sz="1100" b="0" i="1" baseline="0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</m:oMath>
              </a14:m>
              <a:r>
                <a:rPr lang="en-US" sz="1100"/>
                <a:t>)</a:t>
              </a:r>
            </a:p>
          </xdr:txBody>
        </xdr:sp>
      </mc:Choice>
      <mc:Fallback xmlns="">
        <xdr:sp macro="" textlink="">
          <xdr:nvSpPr>
            <xdr:cNvPr id="392" name="TextBox 391"/>
            <xdr:cNvSpPr txBox="1"/>
          </xdr:nvSpPr>
          <xdr:spPr>
            <a:xfrm>
              <a:off x="642316" y="7572375"/>
              <a:ext cx="1172244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𝑀_𝑢2</a:t>
              </a:r>
              <a:r>
                <a:rPr lang="en-US" sz="1100"/>
                <a:t>= </a:t>
              </a:r>
              <a:r>
                <a:rPr lang="el-GR" sz="1100"/>
                <a:t>φ</a:t>
              </a:r>
              <a:r>
                <a:rPr lang="en-US" sz="1100" b="0" i="0">
                  <a:latin typeface="Cambria Math" panose="02040503050406030204" pitchFamily="18" charset="0"/>
                </a:rPr>
                <a:t>𝐴</a:t>
              </a:r>
              <a:r>
                <a:rPr lang="el-GR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𝑠2</a:t>
              </a:r>
              <a:r>
                <a:rPr lang="el-GR" sz="1100" b="0" i="0">
                  <a:latin typeface="Cambria Math" panose="02040503050406030204" pitchFamily="18" charset="0"/>
                </a:rPr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𝑓</a:t>
              </a:r>
              <a:r>
                <a:rPr lang="el-GR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𝑦</a:t>
              </a:r>
              <a:r>
                <a:rPr lang="en-US" sz="1100"/>
                <a:t>(d</a:t>
              </a:r>
              <a:r>
                <a:rPr lang="en-US" sz="1100" baseline="0"/>
                <a:t> - </a:t>
              </a:r>
              <a:r>
                <a:rPr lang="en-US" sz="1100" b="0" i="0" baseline="0">
                  <a:latin typeface="Cambria Math" panose="02040503050406030204" pitchFamily="18" charset="0"/>
                </a:rPr>
                <a:t>𝑑_1</a:t>
              </a:r>
              <a:r>
                <a:rPr lang="en-US" sz="1100"/>
                <a:t>)</a:t>
              </a:r>
            </a:p>
          </xdr:txBody>
        </xdr:sp>
      </mc:Fallback>
    </mc:AlternateContent>
    <xdr:clientData/>
  </xdr:oneCellAnchor>
  <xdr:oneCellAnchor>
    <xdr:from>
      <xdr:col>9</xdr:col>
      <xdr:colOff>0</xdr:colOff>
      <xdr:row>77</xdr:row>
      <xdr:rowOff>0</xdr:rowOff>
    </xdr:from>
    <xdr:ext cx="30276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3" name="TextBox 392">
              <a:extLst>
                <a:ext uri="{FF2B5EF4-FFF2-40B4-BE49-F238E27FC236}">
                  <a16:creationId xmlns:a16="http://schemas.microsoft.com/office/drawing/2014/main" id="{00000000-0008-0000-0000-000089010000}"/>
                </a:ext>
              </a:extLst>
            </xdr:cNvPr>
            <xdr:cNvSpPr txBox="1"/>
          </xdr:nvSpPr>
          <xdr:spPr>
            <a:xfrm flipH="1">
              <a:off x="1657350" y="7762875"/>
              <a:ext cx="30276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93" name="TextBox 392"/>
            <xdr:cNvSpPr txBox="1"/>
          </xdr:nvSpPr>
          <xdr:spPr>
            <a:xfrm flipH="1">
              <a:off x="1657350" y="7762875"/>
              <a:ext cx="30276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𝐴_𝑠2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99391</xdr:colOff>
      <xdr:row>77</xdr:row>
      <xdr:rowOff>107674</xdr:rowOff>
    </xdr:from>
    <xdr:ext cx="883319" cy="3160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4" name="TextBox 393">
              <a:extLst>
                <a:ext uri="{FF2B5EF4-FFF2-40B4-BE49-F238E27FC236}">
                  <a16:creationId xmlns:a16="http://schemas.microsoft.com/office/drawing/2014/main" id="{00000000-0008-0000-0000-00008A010000}"/>
                </a:ext>
              </a:extLst>
            </xdr:cNvPr>
            <xdr:cNvSpPr txBox="1"/>
          </xdr:nvSpPr>
          <xdr:spPr>
            <a:xfrm>
              <a:off x="642316" y="7870549"/>
              <a:ext cx="883319" cy="3160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𝑓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′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</m:sub>
                  </m:sSub>
                </m:oMath>
              </a14:m>
              <a:r>
                <a:rPr lang="en-US" sz="1100"/>
                <a:t>= 600</a:t>
              </a:r>
              <a14:m>
                <m:oMath xmlns:m="http://schemas.openxmlformats.org/officeDocument/2006/math">
                  <m:d>
                    <m:d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𝑐</m:t>
                          </m:r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− </m:t>
                          </m:r>
                          <m:sSup>
                            <m:sSupPr>
                              <m:ctrlP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𝑑</m:t>
                              </m:r>
                            </m:e>
                            <m:sup>
                              <m: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′</m:t>
                              </m:r>
                            </m:sup>
                          </m:sSup>
                        </m:num>
                        <m:den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𝑐</m:t>
                          </m:r>
                        </m:den>
                      </m:f>
                    </m:e>
                  </m:d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394" name="TextBox 393"/>
            <xdr:cNvSpPr txBox="1"/>
          </xdr:nvSpPr>
          <xdr:spPr>
            <a:xfrm>
              <a:off x="642316" y="7870549"/>
              <a:ext cx="883319" cy="3160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𝑓′〗_𝑠</a:t>
              </a:r>
              <a:r>
                <a:rPr lang="en-US" sz="1100"/>
                <a:t>= 600</a:t>
              </a:r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𝑐 − 𝑑^′)/𝑐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0</xdr:colOff>
      <xdr:row>78</xdr:row>
      <xdr:rowOff>0</xdr:rowOff>
    </xdr:from>
    <xdr:ext cx="20364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5" name="TextBox 394">
              <a:extLst>
                <a:ext uri="{FF2B5EF4-FFF2-40B4-BE49-F238E27FC236}">
                  <a16:creationId xmlns:a16="http://schemas.microsoft.com/office/drawing/2014/main" id="{00000000-0008-0000-0000-00008B010000}"/>
                </a:ext>
              </a:extLst>
            </xdr:cNvPr>
            <xdr:cNvSpPr txBox="1"/>
          </xdr:nvSpPr>
          <xdr:spPr>
            <a:xfrm>
              <a:off x="1657350" y="7953375"/>
              <a:ext cx="2036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95" name="TextBox 394"/>
            <xdr:cNvSpPr txBox="1"/>
          </xdr:nvSpPr>
          <xdr:spPr>
            <a:xfrm>
              <a:off x="1657350" y="7953375"/>
              <a:ext cx="2036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𝑓′〗_𝑠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132522</xdr:colOff>
      <xdr:row>83</xdr:row>
      <xdr:rowOff>0</xdr:rowOff>
    </xdr:from>
    <xdr:ext cx="70000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6" name="TextBox 395">
              <a:extLst>
                <a:ext uri="{FF2B5EF4-FFF2-40B4-BE49-F238E27FC236}">
                  <a16:creationId xmlns:a16="http://schemas.microsoft.com/office/drawing/2014/main" id="{00000000-0008-0000-0000-00008C010000}"/>
                </a:ext>
              </a:extLst>
            </xdr:cNvPr>
            <xdr:cNvSpPr txBox="1"/>
          </xdr:nvSpPr>
          <xdr:spPr>
            <a:xfrm>
              <a:off x="1037397" y="8905875"/>
              <a:ext cx="7000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𝑠</m:t>
                      </m:r>
                    </m:sub>
                  </m:sSub>
                </m:oMath>
              </a14:m>
              <a:r>
                <a:rPr lang="en-US" sz="1100"/>
                <a:t> required </a:t>
              </a:r>
            </a:p>
          </xdr:txBody>
        </xdr:sp>
      </mc:Choice>
      <mc:Fallback xmlns="">
        <xdr:sp macro="" textlink="">
          <xdr:nvSpPr>
            <xdr:cNvPr id="396" name="TextBox 395"/>
            <xdr:cNvSpPr txBox="1"/>
          </xdr:nvSpPr>
          <xdr:spPr>
            <a:xfrm>
              <a:off x="1037397" y="8905875"/>
              <a:ext cx="7000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𝐴_𝑠</a:t>
              </a:r>
              <a:r>
                <a:rPr lang="en-US" sz="1100"/>
                <a:t> required </a:t>
              </a:r>
            </a:p>
          </xdr:txBody>
        </xdr:sp>
      </mc:Fallback>
    </mc:AlternateContent>
    <xdr:clientData/>
  </xdr:oneCellAnchor>
  <xdr:oneCellAnchor>
    <xdr:from>
      <xdr:col>5</xdr:col>
      <xdr:colOff>115956</xdr:colOff>
      <xdr:row>84</xdr:row>
      <xdr:rowOff>0</xdr:rowOff>
    </xdr:from>
    <xdr:ext cx="75059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7" name="TextBox 396">
              <a:extLst>
                <a:ext uri="{FF2B5EF4-FFF2-40B4-BE49-F238E27FC236}">
                  <a16:creationId xmlns:a16="http://schemas.microsoft.com/office/drawing/2014/main" id="{00000000-0008-0000-0000-00008D010000}"/>
                </a:ext>
              </a:extLst>
            </xdr:cNvPr>
            <xdr:cNvSpPr txBox="1"/>
          </xdr:nvSpPr>
          <xdr:spPr>
            <a:xfrm>
              <a:off x="1020831" y="9096375"/>
              <a:ext cx="7505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𝑠</m:t>
                      </m:r>
                    </m:sub>
                  </m:sSub>
                </m:oMath>
              </a14:m>
              <a:r>
                <a:rPr lang="en-US" sz="1100"/>
                <a:t> provided  </a:t>
              </a:r>
            </a:p>
          </xdr:txBody>
        </xdr:sp>
      </mc:Choice>
      <mc:Fallback xmlns="">
        <xdr:sp macro="" textlink="">
          <xdr:nvSpPr>
            <xdr:cNvPr id="397" name="TextBox 396"/>
            <xdr:cNvSpPr txBox="1"/>
          </xdr:nvSpPr>
          <xdr:spPr>
            <a:xfrm>
              <a:off x="1020831" y="9096375"/>
              <a:ext cx="7505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𝐴_𝑠</a:t>
              </a:r>
              <a:r>
                <a:rPr lang="en-US" sz="1100"/>
                <a:t> provided  </a:t>
              </a:r>
            </a:p>
          </xdr:txBody>
        </xdr:sp>
      </mc:Fallback>
    </mc:AlternateContent>
    <xdr:clientData/>
  </xdr:oneCellAnchor>
  <xdr:oneCellAnchor>
    <xdr:from>
      <xdr:col>10</xdr:col>
      <xdr:colOff>0</xdr:colOff>
      <xdr:row>83</xdr:row>
      <xdr:rowOff>0</xdr:rowOff>
    </xdr:from>
    <xdr:ext cx="73879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8" name="TextBox 397">
              <a:extLst>
                <a:ext uri="{FF2B5EF4-FFF2-40B4-BE49-F238E27FC236}">
                  <a16:creationId xmlns:a16="http://schemas.microsoft.com/office/drawing/2014/main" id="{00000000-0008-0000-0000-00008E010000}"/>
                </a:ext>
              </a:extLst>
            </xdr:cNvPr>
            <xdr:cNvSpPr txBox="1"/>
          </xdr:nvSpPr>
          <xdr:spPr>
            <a:xfrm>
              <a:off x="1885950" y="8905875"/>
              <a:ext cx="73879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  <m:r>
                    <a:rPr lang="en-US" sz="1100" b="0" i="0">
                      <a:latin typeface="Cambria Math" panose="02040503050406030204" pitchFamily="18" charset="0"/>
                    </a:rPr>
                    <m:t>+</m:t>
                  </m:r>
                </m:oMath>
              </a14:m>
              <a:r>
                <a:rPr lang="en-US" sz="1100"/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𝑠</m:t>
                      </m:r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b>
                  </m:sSub>
                </m:oMath>
              </a14:m>
              <a:r>
                <a:rPr lang="en-US" sz="1100"/>
                <a:t>  = </a:t>
              </a:r>
            </a:p>
          </xdr:txBody>
        </xdr:sp>
      </mc:Choice>
      <mc:Fallback xmlns="">
        <xdr:sp macro="" textlink="">
          <xdr:nvSpPr>
            <xdr:cNvPr id="398" name="TextBox 397"/>
            <xdr:cNvSpPr txBox="1"/>
          </xdr:nvSpPr>
          <xdr:spPr>
            <a:xfrm>
              <a:off x="1885950" y="8905875"/>
              <a:ext cx="73879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𝐴_𝑠1+</a:t>
              </a:r>
              <a:r>
                <a:rPr lang="en-US" sz="1100"/>
                <a:t>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𝐴_𝑠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/>
                <a:t>  = </a:t>
              </a:r>
            </a:p>
          </xdr:txBody>
        </xdr:sp>
      </mc:Fallback>
    </mc:AlternateContent>
    <xdr:clientData/>
  </xdr:oneCellAnchor>
  <xdr:oneCellAnchor>
    <xdr:from>
      <xdr:col>17</xdr:col>
      <xdr:colOff>190500</xdr:colOff>
      <xdr:row>65</xdr:row>
      <xdr:rowOff>165652</xdr:rowOff>
    </xdr:from>
    <xdr:ext cx="556178" cy="2778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9" name="TextBox 398">
              <a:extLst>
                <a:ext uri="{FF2B5EF4-FFF2-40B4-BE49-F238E27FC236}">
                  <a16:creationId xmlns:a16="http://schemas.microsoft.com/office/drawing/2014/main" id="{00000000-0008-0000-0000-00008F010000}"/>
                </a:ext>
              </a:extLst>
            </xdr:cNvPr>
            <xdr:cNvSpPr txBox="1"/>
          </xdr:nvSpPr>
          <xdr:spPr>
            <a:xfrm>
              <a:off x="3429000" y="5642527"/>
              <a:ext cx="556178" cy="2778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el-GR" sz="1100" i="1">
                          <a:latin typeface="Cambria Math" panose="02040503050406030204" pitchFamily="18" charset="0"/>
                        </a:rPr>
                        <m:t>ρ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𝑚𝑖𝑛</m:t>
                      </m:r>
                    </m:sub>
                  </m:sSub>
                </m:oMath>
              </a14:m>
              <a:r>
                <a:rPr lang="en-US" sz="1100"/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1.4</m:t>
                      </m:r>
                    </m:num>
                    <m:den>
                      <m:sSub>
                        <m:sSubPr>
                          <m:ctrlPr>
                            <a:rPr lang="en-US" sz="11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𝑓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𝑦</m:t>
                          </m:r>
                        </m:sub>
                      </m:sSub>
                    </m:den>
                  </m:f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399" name="TextBox 398"/>
            <xdr:cNvSpPr txBox="1"/>
          </xdr:nvSpPr>
          <xdr:spPr>
            <a:xfrm>
              <a:off x="3429000" y="5642527"/>
              <a:ext cx="556178" cy="2778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100" i="0">
                  <a:latin typeface="Cambria Math" panose="02040503050406030204" pitchFamily="18" charset="0"/>
                </a:rPr>
                <a:t>ρ</a:t>
              </a:r>
              <a:r>
                <a:rPr lang="en-US" sz="110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𝑚𝑖𝑛</a:t>
              </a:r>
              <a:r>
                <a:rPr lang="en-US" sz="1100"/>
                <a:t> = </a:t>
              </a:r>
              <a:r>
                <a:rPr lang="en-US" sz="1100" b="0" i="0">
                  <a:latin typeface="Cambria Math" panose="02040503050406030204" pitchFamily="18" charset="0"/>
                </a:rPr>
                <a:t>1.4/𝑓_𝑦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17</xdr:col>
      <xdr:colOff>230256</xdr:colOff>
      <xdr:row>69</xdr:row>
      <xdr:rowOff>159856</xdr:rowOff>
    </xdr:from>
    <xdr:ext cx="1016753" cy="2400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0" name="TextBox 399">
              <a:extLst>
                <a:ext uri="{FF2B5EF4-FFF2-40B4-BE49-F238E27FC236}">
                  <a16:creationId xmlns:a16="http://schemas.microsoft.com/office/drawing/2014/main" id="{00000000-0008-0000-0000-000090010000}"/>
                </a:ext>
              </a:extLst>
            </xdr:cNvPr>
            <xdr:cNvSpPr txBox="1"/>
          </xdr:nvSpPr>
          <xdr:spPr>
            <a:xfrm>
              <a:off x="3468756" y="13104331"/>
              <a:ext cx="1016753" cy="2400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el-GR" sz="1100" i="1">
                          <a:latin typeface="Cambria Math" panose="02040503050406030204" pitchFamily="18" charset="0"/>
                        </a:rPr>
                        <m:t>ϕ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𝑉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𝑐</m:t>
                      </m:r>
                    </m:sub>
                  </m:sSub>
                </m:oMath>
              </a14:m>
              <a:r>
                <a:rPr lang="en-US" sz="1100"/>
                <a:t> = </a:t>
              </a:r>
              <a:r>
                <a:rPr lang="el-GR" sz="1100"/>
                <a:t>φ</a:t>
              </a:r>
              <a:r>
                <a:rPr lang="en-US" sz="1100"/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</a:rPr>
                        <m:t>6</m:t>
                      </m:r>
                    </m:den>
                  </m:f>
                  <m:rad>
                    <m:radPr>
                      <m:degHide m:val="on"/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sSub>
                        <m:sSubPr>
                          <m:ctrlPr>
                            <a:rPr lang="el-GR" sz="11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𝑓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′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𝑐</m:t>
                          </m:r>
                        </m:sub>
                      </m:sSub>
                    </m:e>
                  </m:rad>
                </m:oMath>
              </a14:m>
              <a:r>
                <a:rPr lang="en-US" sz="1100"/>
                <a:t> bd</a:t>
              </a:r>
            </a:p>
          </xdr:txBody>
        </xdr:sp>
      </mc:Choice>
      <mc:Fallback xmlns="">
        <xdr:sp macro="" textlink="">
          <xdr:nvSpPr>
            <xdr:cNvPr id="400" name="TextBox 399"/>
            <xdr:cNvSpPr txBox="1"/>
          </xdr:nvSpPr>
          <xdr:spPr>
            <a:xfrm>
              <a:off x="3468756" y="13104331"/>
              <a:ext cx="1016753" cy="2400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el-GR" sz="1100" i="0">
                  <a:latin typeface="Cambria Math" panose="02040503050406030204" pitchFamily="18" charset="0"/>
                </a:rPr>
                <a:t>ϕ</a:t>
              </a:r>
              <a:r>
                <a:rPr lang="en-US" sz="1100" b="0" i="0">
                  <a:latin typeface="Cambria Math" panose="02040503050406030204" pitchFamily="18" charset="0"/>
                </a:rPr>
                <a:t>𝑉〗_𝑐</a:t>
              </a:r>
              <a:r>
                <a:rPr lang="en-US" sz="1100"/>
                <a:t> = </a:t>
              </a:r>
              <a:r>
                <a:rPr lang="el-GR" sz="1100"/>
                <a:t>φ</a:t>
              </a:r>
              <a:r>
                <a:rPr lang="en-US" sz="1100"/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1</a:t>
              </a:r>
              <a:r>
                <a:rPr lang="el-GR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 panose="02040503050406030204" pitchFamily="18" charset="0"/>
                </a:rPr>
                <a:t>6</a:t>
              </a:r>
              <a:r>
                <a:rPr lang="el-GR" sz="1100" b="0" i="0">
                  <a:latin typeface="Cambria Math" panose="02040503050406030204" pitchFamily="18" charset="0"/>
                </a:rPr>
                <a:t> </a:t>
              </a:r>
              <a:r>
                <a:rPr lang="el-GR" sz="1100" i="0">
                  <a:latin typeface="Cambria Math" panose="02040503050406030204" pitchFamily="18" charset="0"/>
                </a:rPr>
                <a:t>√(〖</a:t>
              </a:r>
              <a:r>
                <a:rPr lang="en-US" sz="1100" b="0" i="0">
                  <a:latin typeface="Cambria Math" panose="02040503050406030204" pitchFamily="18" charset="0"/>
                </a:rPr>
                <a:t>𝑓′</a:t>
              </a:r>
              <a:r>
                <a:rPr lang="el-GR" sz="1100" b="0" i="0">
                  <a:latin typeface="Cambria Math" panose="02040503050406030204" pitchFamily="18" charset="0"/>
                </a:rPr>
                <a:t>〗_</a:t>
              </a:r>
              <a:r>
                <a:rPr lang="en-US" sz="1100" b="0" i="0">
                  <a:latin typeface="Cambria Math" panose="02040503050406030204" pitchFamily="18" charset="0"/>
                </a:rPr>
                <a:t>𝑐</a:t>
              </a:r>
              <a:r>
                <a:rPr lang="el-GR" sz="1100" b="0" i="0">
                  <a:latin typeface="Cambria Math" panose="02040503050406030204" pitchFamily="18" charset="0"/>
                </a:rPr>
                <a:t> )</a:t>
              </a:r>
              <a:r>
                <a:rPr lang="en-US" sz="1100"/>
                <a:t> bd</a:t>
              </a:r>
            </a:p>
          </xdr:txBody>
        </xdr:sp>
      </mc:Fallback>
    </mc:AlternateContent>
    <xdr:clientData/>
  </xdr:oneCellAnchor>
  <xdr:oneCellAnchor>
    <xdr:from>
      <xdr:col>21</xdr:col>
      <xdr:colOff>48039</xdr:colOff>
      <xdr:row>72</xdr:row>
      <xdr:rowOff>2485</xdr:rowOff>
    </xdr:from>
    <xdr:ext cx="16145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1" name="TextBox 400">
              <a:extLst>
                <a:ext uri="{FF2B5EF4-FFF2-40B4-BE49-F238E27FC236}">
                  <a16:creationId xmlns:a16="http://schemas.microsoft.com/office/drawing/2014/main" id="{00000000-0008-0000-0000-000091010000}"/>
                </a:ext>
              </a:extLst>
            </xdr:cNvPr>
            <xdr:cNvSpPr txBox="1"/>
          </xdr:nvSpPr>
          <xdr:spPr>
            <a:xfrm>
              <a:off x="4248564" y="6812860"/>
              <a:ext cx="16145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𝑢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01" name="TextBox 400"/>
            <xdr:cNvSpPr txBox="1"/>
          </xdr:nvSpPr>
          <xdr:spPr>
            <a:xfrm>
              <a:off x="4248564" y="6812860"/>
              <a:ext cx="16145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𝑉_𝑢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19</xdr:col>
      <xdr:colOff>0</xdr:colOff>
      <xdr:row>72</xdr:row>
      <xdr:rowOff>0</xdr:rowOff>
    </xdr:from>
    <xdr:ext cx="24776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2" name="TextBox 401">
              <a:extLst>
                <a:ext uri="{FF2B5EF4-FFF2-40B4-BE49-F238E27FC236}">
                  <a16:creationId xmlns:a16="http://schemas.microsoft.com/office/drawing/2014/main" id="{00000000-0008-0000-0000-000092010000}"/>
                </a:ext>
              </a:extLst>
            </xdr:cNvPr>
            <xdr:cNvSpPr txBox="1"/>
          </xdr:nvSpPr>
          <xdr:spPr>
            <a:xfrm>
              <a:off x="3724275" y="6810375"/>
              <a:ext cx="24776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100" i="1">
                            <a:latin typeface="Cambria Math" panose="02040503050406030204" pitchFamily="18" charset="0"/>
                          </a:rPr>
                          <m:t>ϕ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02" name="TextBox 401"/>
            <xdr:cNvSpPr txBox="1"/>
          </xdr:nvSpPr>
          <xdr:spPr>
            <a:xfrm>
              <a:off x="3724275" y="6810375"/>
              <a:ext cx="24776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el-GR" sz="1100" i="0">
                  <a:latin typeface="Cambria Math" panose="02040503050406030204" pitchFamily="18" charset="0"/>
                </a:rPr>
                <a:t>ϕ</a:t>
              </a:r>
              <a:r>
                <a:rPr lang="en-US" sz="1100" b="0" i="0">
                  <a:latin typeface="Cambria Math" panose="02040503050406030204" pitchFamily="18" charset="0"/>
                </a:rPr>
                <a:t>𝑉〗_𝑐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23</xdr:col>
      <xdr:colOff>0</xdr:colOff>
      <xdr:row>71</xdr:row>
      <xdr:rowOff>82826</xdr:rowOff>
    </xdr:from>
    <xdr:ext cx="34939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3" name="TextBox 402">
              <a:extLst>
                <a:ext uri="{FF2B5EF4-FFF2-40B4-BE49-F238E27FC236}">
                  <a16:creationId xmlns:a16="http://schemas.microsoft.com/office/drawing/2014/main" id="{00000000-0008-0000-0000-000093010000}"/>
                </a:ext>
              </a:extLst>
            </xdr:cNvPr>
            <xdr:cNvSpPr txBox="1"/>
          </xdr:nvSpPr>
          <xdr:spPr>
            <a:xfrm>
              <a:off x="4676775" y="6702701"/>
              <a:ext cx="34939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100" i="1">
                            <a:latin typeface="Cambria Math" panose="02040503050406030204" pitchFamily="18" charset="0"/>
                          </a:rPr>
                          <m:t>ϕ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03" name="TextBox 402"/>
            <xdr:cNvSpPr txBox="1"/>
          </xdr:nvSpPr>
          <xdr:spPr>
            <a:xfrm>
              <a:off x="4676775" y="6702701"/>
              <a:ext cx="34939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1/2 </a:t>
              </a:r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el-GR" sz="1100" i="0">
                  <a:latin typeface="Cambria Math" panose="02040503050406030204" pitchFamily="18" charset="0"/>
                </a:rPr>
                <a:t>ϕ</a:t>
              </a:r>
              <a:r>
                <a:rPr lang="en-US" sz="1100" b="0" i="0">
                  <a:latin typeface="Cambria Math" panose="02040503050406030204" pitchFamily="18" charset="0"/>
                </a:rPr>
                <a:t>𝑉〗_𝑐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19</xdr:col>
      <xdr:colOff>97734</xdr:colOff>
      <xdr:row>73</xdr:row>
      <xdr:rowOff>168137</xdr:rowOff>
    </xdr:from>
    <xdr:ext cx="585288" cy="261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4" name="TextBox 403">
              <a:extLst>
                <a:ext uri="{FF2B5EF4-FFF2-40B4-BE49-F238E27FC236}">
                  <a16:creationId xmlns:a16="http://schemas.microsoft.com/office/drawing/2014/main" id="{00000000-0008-0000-0000-000094010000}"/>
                </a:ext>
              </a:extLst>
            </xdr:cNvPr>
            <xdr:cNvSpPr txBox="1"/>
          </xdr:nvSpPr>
          <xdr:spPr>
            <a:xfrm>
              <a:off x="3822009" y="7169012"/>
              <a:ext cx="585288" cy="261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𝑉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</m:sub>
                  </m:sSub>
                </m:oMath>
              </a14:m>
              <a:r>
                <a:rPr lang="en-US" sz="1100"/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en-US" sz="11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𝑉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𝑢</m:t>
                          </m:r>
                        </m:sub>
                      </m:sSub>
                    </m:num>
                    <m:den>
                      <m:r>
                        <m:rPr>
                          <m:sty m:val="p"/>
                        </m:rPr>
                        <a:rPr lang="el-GR" sz="1100" i="1">
                          <a:latin typeface="Cambria Math" panose="02040503050406030204" pitchFamily="18" charset="0"/>
                        </a:rPr>
                        <m:t>ϕ</m:t>
                      </m:r>
                    </m:den>
                  </m:f>
                </m:oMath>
              </a14:m>
              <a:r>
                <a:rPr lang="en-US" sz="1100"/>
                <a:t> -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𝑉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𝑐</m:t>
                      </m:r>
                    </m:sub>
                  </m:sSub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404" name="TextBox 403"/>
            <xdr:cNvSpPr txBox="1"/>
          </xdr:nvSpPr>
          <xdr:spPr>
            <a:xfrm>
              <a:off x="3822009" y="7169012"/>
              <a:ext cx="585288" cy="261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𝑉_𝑠</a:t>
              </a:r>
              <a:r>
                <a:rPr lang="en-US" sz="1100"/>
                <a:t> = </a:t>
              </a:r>
              <a:r>
                <a:rPr lang="en-US" sz="1100" b="0" i="0">
                  <a:latin typeface="Cambria Math" panose="02040503050406030204" pitchFamily="18" charset="0"/>
                </a:rPr>
                <a:t>𝑉_𝑢/</a:t>
              </a:r>
              <a:r>
                <a:rPr lang="el-GR" sz="1100" i="0">
                  <a:latin typeface="Cambria Math" panose="02040503050406030204" pitchFamily="18" charset="0"/>
                </a:rPr>
                <a:t>ϕ</a:t>
              </a:r>
              <a:r>
                <a:rPr lang="en-US" sz="1100"/>
                <a:t> - </a:t>
              </a:r>
              <a:r>
                <a:rPr lang="en-US" sz="1100" b="0" i="0">
                  <a:latin typeface="Cambria Math" panose="02040503050406030204" pitchFamily="18" charset="0"/>
                </a:rPr>
                <a:t>𝑉_𝑐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19</xdr:col>
      <xdr:colOff>172277</xdr:colOff>
      <xdr:row>77</xdr:row>
      <xdr:rowOff>143290</xdr:rowOff>
    </xdr:from>
    <xdr:ext cx="512191" cy="3018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5" name="TextBox 404">
              <a:extLst>
                <a:ext uri="{FF2B5EF4-FFF2-40B4-BE49-F238E27FC236}">
                  <a16:creationId xmlns:a16="http://schemas.microsoft.com/office/drawing/2014/main" id="{00000000-0008-0000-0000-000095010000}"/>
                </a:ext>
              </a:extLst>
            </xdr:cNvPr>
            <xdr:cNvSpPr txBox="1"/>
          </xdr:nvSpPr>
          <xdr:spPr>
            <a:xfrm>
              <a:off x="3896552" y="7906165"/>
              <a:ext cx="512191" cy="3018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/>
                <a:t>s 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2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en-US" sz="12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𝐴</m:t>
                          </m:r>
                        </m:e>
                        <m:sub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𝑣</m:t>
                          </m:r>
                        </m:sub>
                      </m:sSub>
                      <m:sSub>
                        <m:sSubPr>
                          <m:ctrlPr>
                            <a:rPr lang="en-US" sz="12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𝑓</m:t>
                          </m:r>
                        </m:e>
                        <m:sub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𝑦</m:t>
                          </m:r>
                        </m:sub>
                      </m:sSub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𝑑</m:t>
                      </m:r>
                    </m:num>
                    <m:den>
                      <m:sSub>
                        <m:sSubPr>
                          <m:ctrlPr>
                            <a:rPr lang="en-US" sz="12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𝑉</m:t>
                          </m:r>
                        </m:e>
                        <m:sub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𝑠</m:t>
                          </m:r>
                        </m:sub>
                      </m:sSub>
                    </m:den>
                  </m:f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405" name="TextBox 404"/>
            <xdr:cNvSpPr txBox="1"/>
          </xdr:nvSpPr>
          <xdr:spPr>
            <a:xfrm>
              <a:off x="3896552" y="7906165"/>
              <a:ext cx="512191" cy="3018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/>
                <a:t>s = </a:t>
              </a:r>
              <a:r>
                <a:rPr lang="en-US" sz="1200" i="0">
                  <a:latin typeface="Cambria Math" panose="02040503050406030204" pitchFamily="18" charset="0"/>
                </a:rPr>
                <a:t>(</a:t>
              </a:r>
              <a:r>
                <a:rPr lang="en-US" sz="1200" b="0" i="0">
                  <a:latin typeface="Cambria Math" panose="02040503050406030204" pitchFamily="18" charset="0"/>
                </a:rPr>
                <a:t>𝐴_𝑣 𝑓_𝑦 𝑑)/𝑉_𝑠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21</xdr:col>
      <xdr:colOff>33130</xdr:colOff>
      <xdr:row>79</xdr:row>
      <xdr:rowOff>182218</xdr:rowOff>
    </xdr:from>
    <xdr:ext cx="43249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6" name="TextBox 405">
              <a:extLst>
                <a:ext uri="{FF2B5EF4-FFF2-40B4-BE49-F238E27FC236}">
                  <a16:creationId xmlns:a16="http://schemas.microsoft.com/office/drawing/2014/main" id="{00000000-0008-0000-0000-000096010000}"/>
                </a:ext>
              </a:extLst>
            </xdr:cNvPr>
            <xdr:cNvSpPr txBox="1"/>
          </xdr:nvSpPr>
          <xdr:spPr>
            <a:xfrm>
              <a:off x="4233655" y="8326093"/>
              <a:ext cx="43249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𝑆</m:t>
                      </m:r>
                    </m:e>
                    <m:sub>
                      <m:r>
                        <a:rPr lang="en-US" sz="1100" i="1">
                          <a:latin typeface="Cambria Math" panose="02040503050406030204" pitchFamily="18" charset="0"/>
                        </a:rPr>
                        <m:t>𝑚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𝑎𝑥</m:t>
                      </m:r>
                    </m:sub>
                  </m:sSub>
                </m:oMath>
              </a14:m>
              <a:r>
                <a:rPr lang="en-US" sz="1100"/>
                <a:t> = </a:t>
              </a:r>
            </a:p>
          </xdr:txBody>
        </xdr:sp>
      </mc:Choice>
      <mc:Fallback xmlns="">
        <xdr:sp macro="" textlink="">
          <xdr:nvSpPr>
            <xdr:cNvPr id="406" name="TextBox 405"/>
            <xdr:cNvSpPr txBox="1"/>
          </xdr:nvSpPr>
          <xdr:spPr>
            <a:xfrm>
              <a:off x="4233655" y="8326093"/>
              <a:ext cx="43249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𝑆_</a:t>
              </a:r>
              <a:r>
                <a:rPr lang="en-US" sz="1100" i="0">
                  <a:latin typeface="Cambria Math" panose="02040503050406030204" pitchFamily="18" charset="0"/>
                </a:rPr>
                <a:t>𝑚</a:t>
              </a:r>
              <a:r>
                <a:rPr lang="en-US" sz="1100" b="0" i="0">
                  <a:latin typeface="Cambria Math" panose="02040503050406030204" pitchFamily="18" charset="0"/>
                </a:rPr>
                <a:t>𝑎𝑥</a:t>
              </a:r>
              <a:r>
                <a:rPr lang="en-US" sz="1100"/>
                <a:t> = </a:t>
              </a:r>
            </a:p>
          </xdr:txBody>
        </xdr:sp>
      </mc:Fallback>
    </mc:AlternateContent>
    <xdr:clientData/>
  </xdr:oneCellAnchor>
  <xdr:oneCellAnchor>
    <xdr:from>
      <xdr:col>19</xdr:col>
      <xdr:colOff>91109</xdr:colOff>
      <xdr:row>75</xdr:row>
      <xdr:rowOff>173936</xdr:rowOff>
    </xdr:from>
    <xdr:ext cx="1155316" cy="2401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7" name="TextBox 406">
              <a:extLst>
                <a:ext uri="{FF2B5EF4-FFF2-40B4-BE49-F238E27FC236}">
                  <a16:creationId xmlns:a16="http://schemas.microsoft.com/office/drawing/2014/main" id="{00000000-0008-0000-0000-000097010000}"/>
                </a:ext>
              </a:extLst>
            </xdr:cNvPr>
            <xdr:cNvSpPr txBox="1"/>
          </xdr:nvSpPr>
          <xdr:spPr>
            <a:xfrm>
              <a:off x="3815384" y="7555811"/>
              <a:ext cx="1155316" cy="2401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𝑖𝑓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𝑉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</m:sub>
                  </m:sSub>
                </m:oMath>
              </a14:m>
              <a:r>
                <a:rPr lang="en-US" sz="1100"/>
                <a:t> </a:t>
              </a:r>
              <a14:m>
                <m:oMath xmlns:m="http://schemas.openxmlformats.org/officeDocument/2006/math">
                  <m:r>
                    <a:rPr lang="en-US" sz="11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≤</m:t>
                  </m:r>
                  <m:r>
                    <a:rPr lang="en-US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en-US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3</m:t>
                      </m:r>
                    </m:den>
                  </m:f>
                  <m:rad>
                    <m:radPr>
                      <m:degHide m:val="on"/>
                      <m:ctrlPr>
                        <a:rPr lang="en-US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radPr>
                    <m:deg/>
                    <m:e>
                      <m:sSub>
                        <m:sSubPr>
                          <m:ctrlPr>
                            <a:rPr lang="en-US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𝑓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′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𝑐</m:t>
                          </m:r>
                        </m:sub>
                      </m:sSub>
                    </m:e>
                  </m:rad>
                </m:oMath>
              </a14:m>
              <a:r>
                <a:rPr lang="en-US" sz="1100"/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𝑏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𝑤</m:t>
                      </m:r>
                    </m:sub>
                  </m:sSub>
                  <m:r>
                    <a:rPr lang="en-US" sz="1100" b="0" i="1">
                      <a:latin typeface="Cambria Math" panose="02040503050406030204" pitchFamily="18" charset="0"/>
                    </a:rPr>
                    <m:t>𝑑</m:t>
                  </m:r>
                </m:oMath>
              </a14:m>
              <a:r>
                <a:rPr lang="en-US" sz="1100"/>
                <a:t> </a:t>
              </a:r>
            </a:p>
          </xdr:txBody>
        </xdr:sp>
      </mc:Choice>
      <mc:Fallback xmlns="">
        <xdr:sp macro="" textlink="">
          <xdr:nvSpPr>
            <xdr:cNvPr id="407" name="TextBox 406"/>
            <xdr:cNvSpPr txBox="1"/>
          </xdr:nvSpPr>
          <xdr:spPr>
            <a:xfrm>
              <a:off x="3815384" y="7555811"/>
              <a:ext cx="1155316" cy="2401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𝑖𝑓 𝑉〗_𝑠</a:t>
              </a:r>
              <a:r>
                <a:rPr lang="en-US" sz="1100"/>
                <a:t> </a:t>
              </a:r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≤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2/3 √(〖𝑓′〗_𝑐 )</a:t>
              </a:r>
              <a:r>
                <a:rPr lang="en-US" sz="1100"/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𝑏_𝑤 𝑑</a:t>
              </a:r>
              <a:r>
                <a:rPr lang="en-US" sz="1100"/>
                <a:t> </a:t>
              </a:r>
            </a:p>
          </xdr:txBody>
        </xdr:sp>
      </mc:Fallback>
    </mc:AlternateContent>
    <xdr:clientData/>
  </xdr:oneCellAnchor>
  <xdr:oneCellAnchor>
    <xdr:from>
      <xdr:col>3</xdr:col>
      <xdr:colOff>91936</xdr:colOff>
      <xdr:row>91</xdr:row>
      <xdr:rowOff>124861</xdr:rowOff>
    </xdr:from>
    <xdr:ext cx="1632370" cy="3109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8" name="TextBox 407">
              <a:extLst>
                <a:ext uri="{FF2B5EF4-FFF2-40B4-BE49-F238E27FC236}">
                  <a16:creationId xmlns:a16="http://schemas.microsoft.com/office/drawing/2014/main" id="{00000000-0008-0000-0000-000098010000}"/>
                </a:ext>
              </a:extLst>
            </xdr:cNvPr>
            <xdr:cNvSpPr txBox="1"/>
          </xdr:nvSpPr>
          <xdr:spPr>
            <a:xfrm>
              <a:off x="634861" y="10288036"/>
              <a:ext cx="1632370" cy="3109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max </a:t>
              </a:r>
              <a14:m>
                <m:oMath xmlns:m="http://schemas.openxmlformats.org/officeDocument/2006/math">
                  <m:r>
                    <a:rPr lang="en-US" sz="1100" b="0" i="0">
                      <a:latin typeface="Cambria Math" panose="02040503050406030204" pitchFamily="18" charset="0"/>
                    </a:rPr>
                    <m:t>=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0.75</m:t>
                  </m:r>
                  <m:d>
                    <m:dPr>
                      <m:begChr m:val="["/>
                      <m:endChr m:val="]"/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n-US" sz="11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0.85</m:t>
                          </m:r>
                          <m:sSup>
                            <m:sSupPr>
                              <m:ctrlPr>
                                <a:rPr lang="en-US" sz="1100" b="0" i="1">
                                  <a:latin typeface="Cambria Math" panose="02040503050406030204" pitchFamily="18" charset="0"/>
                                </a:rPr>
                              </m:ctrlPr>
                            </m:sSupPr>
                            <m:e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𝑓</m:t>
                              </m:r>
                            </m:e>
                            <m:sup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′</m:t>
                              </m:r>
                            </m:sup>
                          </m:sSup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𝑐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 </m:t>
                          </m:r>
                          <m:sSub>
                            <m:sSubPr>
                              <m:ctrlPr>
                                <a:rPr lang="en-US" sz="1100" b="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m:rPr>
                                  <m:sty m:val="p"/>
                                </m:rPr>
                                <a:rPr lang="el-GR" sz="1100" b="0" i="1">
                                  <a:latin typeface="Cambria Math" panose="02040503050406030204" pitchFamily="18" charset="0"/>
                                </a:rPr>
                                <m:t>β</m:t>
                              </m:r>
                            </m:e>
                            <m:sub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1</m:t>
                              </m:r>
                            </m:sub>
                          </m:s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(600)</m:t>
                          </m:r>
                        </m:num>
                        <m:den>
                          <m:sSub>
                            <m:sSubPr>
                              <m:ctrlPr>
                                <a:rPr lang="en-US" sz="110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𝑓</m:t>
                              </m:r>
                            </m:e>
                            <m:sub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𝑦</m:t>
                              </m:r>
                            </m:sub>
                          </m:s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(600+</m:t>
                          </m:r>
                          <m:sSub>
                            <m:sSubPr>
                              <m:ctrlPr>
                                <a:rPr lang="en-US" sz="1100" b="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𝑓</m:t>
                              </m:r>
                            </m:e>
                            <m:sub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𝑦</m:t>
                              </m:r>
                            </m:sub>
                          </m:s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)</m:t>
                          </m:r>
                        </m:den>
                      </m:f>
                    </m:e>
                  </m:d>
                </m:oMath>
              </a14:m>
              <a:endParaRPr lang="en-US" sz="1050"/>
            </a:p>
          </xdr:txBody>
        </xdr:sp>
      </mc:Choice>
      <mc:Fallback xmlns="">
        <xdr:sp macro="" textlink="">
          <xdr:nvSpPr>
            <xdr:cNvPr id="408" name="TextBox 407"/>
            <xdr:cNvSpPr txBox="1"/>
          </xdr:nvSpPr>
          <xdr:spPr>
            <a:xfrm>
              <a:off x="634861" y="10288036"/>
              <a:ext cx="1632370" cy="3109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max </a:t>
              </a:r>
              <a:r>
                <a:rPr lang="en-US" sz="1100" b="0" i="0">
                  <a:latin typeface="Cambria Math" panose="02040503050406030204" pitchFamily="18" charset="0"/>
                </a:rPr>
                <a:t>=0.75</a:t>
              </a:r>
              <a:r>
                <a:rPr lang="en-US" sz="1100" i="0">
                  <a:latin typeface="Cambria Math" panose="02040503050406030204" pitchFamily="18" charset="0"/>
                </a:rPr>
                <a:t>[(</a:t>
              </a:r>
              <a:r>
                <a:rPr lang="en-US" sz="1100" b="0" i="0">
                  <a:latin typeface="Cambria Math" panose="02040503050406030204" pitchFamily="18" charset="0"/>
                </a:rPr>
                <a:t>0.85𝑓^′ 𝑐 </a:t>
              </a:r>
              <a:r>
                <a:rPr lang="el-GR" sz="1100" b="0" i="0">
                  <a:latin typeface="Cambria Math" panose="02040503050406030204" pitchFamily="18" charset="0"/>
                </a:rPr>
                <a:t>β</a:t>
              </a:r>
              <a:r>
                <a:rPr lang="en-US" sz="1100" b="0" i="0">
                  <a:latin typeface="Cambria Math" panose="02040503050406030204" pitchFamily="18" charset="0"/>
                </a:rPr>
                <a:t>_1 (600))/(𝑓_𝑦 (600+𝑓_𝑦))]</a:t>
              </a:r>
              <a:endParaRPr lang="en-US" sz="1050"/>
            </a:p>
          </xdr:txBody>
        </xdr:sp>
      </mc:Fallback>
    </mc:AlternateContent>
    <xdr:clientData/>
  </xdr:oneCellAnchor>
  <xdr:oneCellAnchor>
    <xdr:from>
      <xdr:col>3</xdr:col>
      <xdr:colOff>114300</xdr:colOff>
      <xdr:row>89</xdr:row>
      <xdr:rowOff>132314</xdr:rowOff>
    </xdr:from>
    <xdr:ext cx="510781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9" name="TextBox 408">
              <a:extLst>
                <a:ext uri="{FF2B5EF4-FFF2-40B4-BE49-F238E27FC236}">
                  <a16:creationId xmlns:a16="http://schemas.microsoft.com/office/drawing/2014/main" id="{00000000-0008-0000-0000-000099010000}"/>
                </a:ext>
              </a:extLst>
            </xdr:cNvPr>
            <xdr:cNvSpPr txBox="1"/>
          </xdr:nvSpPr>
          <xdr:spPr>
            <a:xfrm>
              <a:off x="657225" y="9914489"/>
              <a:ext cx="510781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max </a:t>
              </a:r>
              <a14:m>
                <m:oMath xmlns:m="http://schemas.openxmlformats.org/officeDocument/2006/math">
                  <m:r>
                    <a:rPr lang="en-US" sz="1200" b="0" i="1">
                      <a:latin typeface="Cambria Math" panose="02040503050406030204" pitchFamily="18" charset="0"/>
                    </a:rPr>
                    <m:t>=  </m:t>
                  </m:r>
                </m:oMath>
              </a14:m>
              <a:endParaRPr lang="en-US" sz="1050"/>
            </a:p>
          </xdr:txBody>
        </xdr:sp>
      </mc:Choice>
      <mc:Fallback xmlns="">
        <xdr:sp macro="" textlink="">
          <xdr:nvSpPr>
            <xdr:cNvPr id="409" name="TextBox 408"/>
            <xdr:cNvSpPr txBox="1"/>
          </xdr:nvSpPr>
          <xdr:spPr>
            <a:xfrm>
              <a:off x="657225" y="9914489"/>
              <a:ext cx="510781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max </a:t>
              </a:r>
              <a:r>
                <a:rPr lang="en-US" sz="1200" b="0" i="0">
                  <a:latin typeface="Cambria Math" panose="02040503050406030204" pitchFamily="18" charset="0"/>
                </a:rPr>
                <a:t>=  </a:t>
              </a:r>
              <a:endParaRPr lang="en-US" sz="1050"/>
            </a:p>
          </xdr:txBody>
        </xdr:sp>
      </mc:Fallback>
    </mc:AlternateContent>
    <xdr:clientData/>
  </xdr:oneCellAnchor>
  <xdr:oneCellAnchor>
    <xdr:from>
      <xdr:col>7</xdr:col>
      <xdr:colOff>175593</xdr:colOff>
      <xdr:row>89</xdr:row>
      <xdr:rowOff>127344</xdr:rowOff>
    </xdr:from>
    <xdr:ext cx="232884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0" name="TextBox 409">
              <a:extLst>
                <a:ext uri="{FF2B5EF4-FFF2-40B4-BE49-F238E27FC236}">
                  <a16:creationId xmlns:a16="http://schemas.microsoft.com/office/drawing/2014/main" id="{00000000-0008-0000-0000-00009A010000}"/>
                </a:ext>
              </a:extLst>
            </xdr:cNvPr>
            <xdr:cNvSpPr txBox="1"/>
          </xdr:nvSpPr>
          <xdr:spPr>
            <a:xfrm>
              <a:off x="1442418" y="9909519"/>
              <a:ext cx="232884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b</a:t>
              </a:r>
              <a14:m>
                <m:oMath xmlns:m="http://schemas.openxmlformats.org/officeDocument/2006/math">
                  <m:r>
                    <a:rPr lang="en-US" sz="1200" b="0" i="1">
                      <a:latin typeface="Cambria Math" panose="02040503050406030204" pitchFamily="18" charset="0"/>
                    </a:rPr>
                    <m:t>  </m:t>
                  </m:r>
                </m:oMath>
              </a14:m>
              <a:endParaRPr lang="en-US" sz="1050"/>
            </a:p>
          </xdr:txBody>
        </xdr:sp>
      </mc:Choice>
      <mc:Fallback xmlns="">
        <xdr:sp macro="" textlink="">
          <xdr:nvSpPr>
            <xdr:cNvPr id="410" name="TextBox 409"/>
            <xdr:cNvSpPr txBox="1"/>
          </xdr:nvSpPr>
          <xdr:spPr>
            <a:xfrm>
              <a:off x="1442418" y="9909519"/>
              <a:ext cx="232884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b</a:t>
              </a:r>
              <a:r>
                <a:rPr lang="en-US" sz="1200" b="0" i="0">
                  <a:latin typeface="Cambria Math" panose="02040503050406030204" pitchFamily="18" charset="0"/>
                </a:rPr>
                <a:t>  </a:t>
              </a:r>
              <a:endParaRPr lang="en-US" sz="1050"/>
            </a:p>
          </xdr:txBody>
        </xdr:sp>
      </mc:Fallback>
    </mc:AlternateContent>
    <xdr:clientData/>
  </xdr:oneCellAnchor>
  <xdr:oneCellAnchor>
    <xdr:from>
      <xdr:col>4</xdr:col>
      <xdr:colOff>81168</xdr:colOff>
      <xdr:row>93</xdr:row>
      <xdr:rowOff>101877</xdr:rowOff>
    </xdr:from>
    <xdr:ext cx="626325" cy="3560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1" name="TextBox 410">
              <a:extLst>
                <a:ext uri="{FF2B5EF4-FFF2-40B4-BE49-F238E27FC236}">
                  <a16:creationId xmlns:a16="http://schemas.microsoft.com/office/drawing/2014/main" id="{00000000-0008-0000-0000-00009B010000}"/>
                </a:ext>
              </a:extLst>
            </xdr:cNvPr>
            <xdr:cNvSpPr txBox="1"/>
          </xdr:nvSpPr>
          <xdr:spPr>
            <a:xfrm>
              <a:off x="805068" y="10646052"/>
              <a:ext cx="626325" cy="3560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l-GR" sz="1100" i="1">
                        <a:latin typeface="Cambria Math" panose="02040503050406030204" pitchFamily="18" charset="0"/>
                      </a:rPr>
                      <m:t>ω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100" b="0" i="1">
                        <a:latin typeface="Cambria Math" panose="02040503050406030204" pitchFamily="18" charset="0"/>
                      </a:rPr>
                      <m:t>ρ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11" name="TextBox 410"/>
            <xdr:cNvSpPr txBox="1"/>
          </xdr:nvSpPr>
          <xdr:spPr>
            <a:xfrm>
              <a:off x="805068" y="10646052"/>
              <a:ext cx="626325" cy="3560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100" i="0">
                  <a:latin typeface="Cambria Math" panose="02040503050406030204" pitchFamily="18" charset="0"/>
                </a:rPr>
                <a:t>ω</a:t>
              </a:r>
              <a:r>
                <a:rPr lang="en-US" sz="1100" b="0" i="0">
                  <a:latin typeface="Cambria Math" panose="02040503050406030204" pitchFamily="18" charset="0"/>
                </a:rPr>
                <a:t>= </a:t>
              </a:r>
              <a:r>
                <a:rPr lang="el-GR" sz="1100" b="0" i="0">
                  <a:latin typeface="Cambria Math" panose="02040503050406030204" pitchFamily="18" charset="0"/>
                </a:rPr>
                <a:t>ρ</a:t>
              </a:r>
              <a:r>
                <a:rPr lang="en-US" sz="1100" i="0">
                  <a:latin typeface="Cambria Math" panose="02040503050406030204" pitchFamily="18" charset="0"/>
                </a:rPr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𝑓_𝑦/〖𝑓′〗_𝑐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6626</xdr:colOff>
      <xdr:row>96</xdr:row>
      <xdr:rowOff>2486</xdr:rowOff>
    </xdr:from>
    <xdr:ext cx="1728358" cy="1971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2" name="TextBox 411">
              <a:extLst>
                <a:ext uri="{FF2B5EF4-FFF2-40B4-BE49-F238E27FC236}">
                  <a16:creationId xmlns:a16="http://schemas.microsoft.com/office/drawing/2014/main" id="{00000000-0008-0000-0000-00009C010000}"/>
                </a:ext>
              </a:extLst>
            </xdr:cNvPr>
            <xdr:cNvSpPr txBox="1"/>
          </xdr:nvSpPr>
          <xdr:spPr>
            <a:xfrm>
              <a:off x="549551" y="11118161"/>
              <a:ext cx="1728358" cy="1971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𝑀</m:t>
                      </m:r>
                    </m:e>
                    <m:sub>
                      <m:sSub>
                        <m:sSubPr>
                          <m:ctrlPr>
                            <a:rPr lang="en-US" sz="11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𝑢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𝑚𝑎𝑥</m:t>
                          </m:r>
                        </m:sub>
                      </m:sSub>
                    </m:sub>
                  </m:sSub>
                </m:oMath>
              </a14:m>
              <a:r>
                <a:rPr lang="en-US" sz="1100"/>
                <a:t> </a:t>
              </a:r>
              <a:r>
                <a:rPr lang="en-US" sz="1200"/>
                <a:t>=</a:t>
              </a:r>
              <a:r>
                <a:rPr lang="en-US" sz="1100"/>
                <a:t> </a:t>
              </a:r>
              <a:r>
                <a:rPr lang="el-GR" sz="1100"/>
                <a:t>φ</a:t>
              </a:r>
              <a14:m>
                <m:oMath xmlns:m="http://schemas.openxmlformats.org/officeDocument/2006/math">
                  <m:sSub>
                    <m:sSubPr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𝑓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′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𝑐</m:t>
                      </m:r>
                    </m:sub>
                  </m:sSub>
                </m:oMath>
              </a14:m>
              <a:r>
                <a:rPr lang="el-GR" sz="1100"/>
                <a:t>ω</a:t>
              </a:r>
              <a:r>
                <a:rPr lang="en-US" sz="1100"/>
                <a:t>b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𝑑</m:t>
                      </m:r>
                    </m:e>
                    <m:sup>
                      <m:r>
                        <a:rPr lang="en-US" sz="1100" b="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r>
                <a:rPr lang="en-US" sz="1100"/>
                <a:t>(1</a:t>
              </a:r>
              <a:r>
                <a:rPr lang="en-US" sz="1100" baseline="0"/>
                <a:t> - 0.59</a:t>
              </a:r>
              <a:r>
                <a:rPr lang="el-GR" sz="1100" baseline="0"/>
                <a:t>ω</a:t>
              </a:r>
              <a:r>
                <a:rPr lang="en-US" sz="1100" baseline="0"/>
                <a:t>)</a:t>
              </a:r>
              <a:endParaRPr lang="en-US" sz="1100"/>
            </a:p>
          </xdr:txBody>
        </xdr:sp>
      </mc:Choice>
      <mc:Fallback xmlns="">
        <xdr:sp macro="" textlink="">
          <xdr:nvSpPr>
            <xdr:cNvPr id="412" name="TextBox 411"/>
            <xdr:cNvSpPr txBox="1"/>
          </xdr:nvSpPr>
          <xdr:spPr>
            <a:xfrm>
              <a:off x="549551" y="11118161"/>
              <a:ext cx="1728358" cy="1971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𝑀_(𝑢_𝑚𝑎𝑥 )</a:t>
              </a:r>
              <a:r>
                <a:rPr lang="en-US" sz="1100"/>
                <a:t> </a:t>
              </a:r>
              <a:r>
                <a:rPr lang="en-US" sz="1200"/>
                <a:t>=</a:t>
              </a:r>
              <a:r>
                <a:rPr lang="en-US" sz="1100"/>
                <a:t> </a:t>
              </a:r>
              <a:r>
                <a:rPr lang="el-GR" sz="1100"/>
                <a:t>φ</a:t>
              </a:r>
              <a:r>
                <a:rPr lang="el-GR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𝑓′</a:t>
              </a:r>
              <a:r>
                <a:rPr lang="el-GR" sz="1100" b="0" i="0">
                  <a:latin typeface="Cambria Math" panose="02040503050406030204" pitchFamily="18" charset="0"/>
                </a:rPr>
                <a:t>〗_</a:t>
              </a:r>
              <a:r>
                <a:rPr lang="en-US" sz="1100" b="0" i="0">
                  <a:latin typeface="Cambria Math" panose="02040503050406030204" pitchFamily="18" charset="0"/>
                </a:rPr>
                <a:t>𝑐</a:t>
              </a:r>
              <a:r>
                <a:rPr lang="el-GR" sz="1100"/>
                <a:t>ω</a:t>
              </a:r>
              <a:r>
                <a:rPr lang="en-US" sz="1100"/>
                <a:t>b</a:t>
              </a:r>
              <a:r>
                <a:rPr lang="en-US" sz="1100" b="0" i="0">
                  <a:latin typeface="Cambria Math" panose="02040503050406030204" pitchFamily="18" charset="0"/>
                </a:rPr>
                <a:t>𝑑^2</a:t>
              </a:r>
              <a:r>
                <a:rPr lang="en-US" sz="1100"/>
                <a:t>(1</a:t>
              </a:r>
              <a:r>
                <a:rPr lang="en-US" sz="1100" baseline="0"/>
                <a:t> - 0.59</a:t>
              </a:r>
              <a:r>
                <a:rPr lang="el-GR" sz="1100" baseline="0"/>
                <a:t>ω</a:t>
              </a:r>
              <a:r>
                <a:rPr lang="en-US" sz="1100" baseline="0"/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14909</xdr:colOff>
      <xdr:row>90</xdr:row>
      <xdr:rowOff>2486</xdr:rowOff>
    </xdr:from>
    <xdr:ext cx="17229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3" name="TextBox 412">
              <a:extLst>
                <a:ext uri="{FF2B5EF4-FFF2-40B4-BE49-F238E27FC236}">
                  <a16:creationId xmlns:a16="http://schemas.microsoft.com/office/drawing/2014/main" id="{00000000-0008-0000-0000-00009D010000}"/>
                </a:ext>
              </a:extLst>
            </xdr:cNvPr>
            <xdr:cNvSpPr txBox="1"/>
          </xdr:nvSpPr>
          <xdr:spPr>
            <a:xfrm>
              <a:off x="2262809" y="9975161"/>
              <a:ext cx="1722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100" i="1">
                            <a:latin typeface="Cambria Math" panose="02040503050406030204" pitchFamily="18" charset="0"/>
                          </a:rPr>
                          <m:t>β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13" name="TextBox 412"/>
            <xdr:cNvSpPr txBox="1"/>
          </xdr:nvSpPr>
          <xdr:spPr>
            <a:xfrm>
              <a:off x="2262809" y="9975161"/>
              <a:ext cx="1722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100" i="0">
                  <a:latin typeface="Cambria Math" panose="02040503050406030204" pitchFamily="18" charset="0"/>
                </a:rPr>
                <a:t>β</a:t>
              </a:r>
              <a:r>
                <a:rPr lang="en-US" sz="110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1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25</xdr:col>
      <xdr:colOff>64476</xdr:colOff>
      <xdr:row>99</xdr:row>
      <xdr:rowOff>49824</xdr:rowOff>
    </xdr:from>
    <xdr:to>
      <xdr:col>26</xdr:col>
      <xdr:colOff>87923</xdr:colOff>
      <xdr:row>99</xdr:row>
      <xdr:rowOff>51288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CxnSpPr/>
      </xdr:nvCxnSpPr>
      <xdr:spPr>
        <a:xfrm>
          <a:off x="5217501" y="11736999"/>
          <a:ext cx="261572" cy="14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89</xdr:row>
      <xdr:rowOff>36635</xdr:rowOff>
    </xdr:from>
    <xdr:to>
      <xdr:col>26</xdr:col>
      <xdr:colOff>0</xdr:colOff>
      <xdr:row>99</xdr:row>
      <xdr:rowOff>36635</xdr:rowOff>
    </xdr:to>
    <xdr:cxnSp macro="">
      <xdr:nvCxnSpPr>
        <xdr:cNvPr id="415" name="Straight Arrow Connector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CxnSpPr/>
      </xdr:nvCxnSpPr>
      <xdr:spPr>
        <a:xfrm>
          <a:off x="5391150" y="9818810"/>
          <a:ext cx="0" cy="19050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55684</xdr:colOff>
      <xdr:row>89</xdr:row>
      <xdr:rowOff>11724</xdr:rowOff>
    </xdr:from>
    <xdr:to>
      <xdr:col>26</xdr:col>
      <xdr:colOff>79131</xdr:colOff>
      <xdr:row>89</xdr:row>
      <xdr:rowOff>13188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CxnSpPr/>
      </xdr:nvCxnSpPr>
      <xdr:spPr>
        <a:xfrm>
          <a:off x="5208709" y="9793899"/>
          <a:ext cx="261572" cy="14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19049</xdr:colOff>
      <xdr:row>99</xdr:row>
      <xdr:rowOff>121628</xdr:rowOff>
    </xdr:from>
    <xdr:to>
      <xdr:col>20</xdr:col>
      <xdr:colOff>21981</xdr:colOff>
      <xdr:row>101</xdr:row>
      <xdr:rowOff>109904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CxnSpPr/>
      </xdr:nvCxnSpPr>
      <xdr:spPr>
        <a:xfrm>
          <a:off x="3981449" y="11808803"/>
          <a:ext cx="2932" cy="36927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51289</xdr:colOff>
      <xdr:row>101</xdr:row>
      <xdr:rowOff>7327</xdr:rowOff>
    </xdr:from>
    <xdr:to>
      <xdr:col>24</xdr:col>
      <xdr:colOff>205154</xdr:colOff>
      <xdr:row>101</xdr:row>
      <xdr:rowOff>7328</xdr:rowOff>
    </xdr:to>
    <xdr:cxnSp macro="">
      <xdr:nvCxnSpPr>
        <xdr:cNvPr id="418" name="Straight Arrow Connector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CxnSpPr/>
      </xdr:nvCxnSpPr>
      <xdr:spPr>
        <a:xfrm flipH="1">
          <a:off x="4013689" y="12075502"/>
          <a:ext cx="110636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222738</xdr:colOff>
      <xdr:row>99</xdr:row>
      <xdr:rowOff>127490</xdr:rowOff>
    </xdr:from>
    <xdr:to>
      <xdr:col>24</xdr:col>
      <xdr:colOff>225670</xdr:colOff>
      <xdr:row>101</xdr:row>
      <xdr:rowOff>115766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CxnSpPr/>
      </xdr:nvCxnSpPr>
      <xdr:spPr>
        <a:xfrm>
          <a:off x="5137638" y="11814665"/>
          <a:ext cx="2932" cy="36927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26278</xdr:colOff>
      <xdr:row>89</xdr:row>
      <xdr:rowOff>26276</xdr:rowOff>
    </xdr:from>
    <xdr:to>
      <xdr:col>24</xdr:col>
      <xdr:colOff>229914</xdr:colOff>
      <xdr:row>99</xdr:row>
      <xdr:rowOff>52551</xdr:rowOff>
    </xdr:to>
    <xdr:graphicFrame macro="">
      <xdr:nvGraphicFramePr>
        <xdr:cNvPr id="420" name="Chart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151086</xdr:colOff>
      <xdr:row>89</xdr:row>
      <xdr:rowOff>157655</xdr:rowOff>
    </xdr:from>
    <xdr:to>
      <xdr:col>24</xdr:col>
      <xdr:colOff>111671</xdr:colOff>
      <xdr:row>98</xdr:row>
      <xdr:rowOff>124810</xdr:rowOff>
    </xdr:to>
    <xdr:sp macro="" textlink="">
      <xdr:nvSpPr>
        <xdr:cNvPr id="421" name="Rectangle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4113486" y="9939830"/>
          <a:ext cx="913085" cy="1681655"/>
        </a:xfrm>
        <a:prstGeom prst="rect">
          <a:avLst/>
        </a:prstGeom>
        <a:noFill/>
        <a:ln w="2540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3</xdr:col>
      <xdr:colOff>25191</xdr:colOff>
      <xdr:row>99</xdr:row>
      <xdr:rowOff>145004</xdr:rowOff>
    </xdr:from>
    <xdr:ext cx="699359" cy="2848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2" name="TextBox 421">
              <a:extLst>
                <a:ext uri="{FF2B5EF4-FFF2-40B4-BE49-F238E27FC236}">
                  <a16:creationId xmlns:a16="http://schemas.microsoft.com/office/drawing/2014/main" id="{00000000-0008-0000-0000-0000A6010000}"/>
                </a:ext>
              </a:extLst>
            </xdr:cNvPr>
            <xdr:cNvSpPr txBox="1"/>
          </xdr:nvSpPr>
          <xdr:spPr>
            <a:xfrm>
              <a:off x="568116" y="11832179"/>
              <a:ext cx="699359" cy="2848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2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𝑅</m:t>
                      </m:r>
                    </m:e>
                    <m:sub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𝑢</m:t>
                      </m:r>
                    </m:sub>
                  </m:sSub>
                </m:oMath>
              </a14:m>
              <a:r>
                <a:rPr lang="en-US" sz="1200"/>
                <a:t> </a:t>
              </a:r>
              <a:r>
                <a:rPr lang="en-US" sz="1400"/>
                <a:t>=</a:t>
              </a:r>
              <a:r>
                <a:rPr lang="en-US" sz="1200"/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2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en-US" sz="12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𝑀</m:t>
                          </m:r>
                        </m:e>
                        <m:sub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𝑢</m:t>
                          </m:r>
                        </m:sub>
                      </m:sSub>
                    </m:num>
                    <m:den>
                      <m:r>
                        <m:rPr>
                          <m:sty m:val="p"/>
                        </m:rPr>
                        <a:rPr lang="el-GR" sz="1200" i="1">
                          <a:latin typeface="Cambria Math" panose="02040503050406030204" pitchFamily="18" charset="0"/>
                        </a:rPr>
                        <m:t>ϕ</m:t>
                      </m:r>
                      <m:r>
                        <a:rPr lang="en-US" sz="12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𝑏</m:t>
                      </m:r>
                      <m:r>
                        <a:rPr lang="en-US" sz="1200" b="0" i="1">
                          <a:latin typeface="Cambria Math" panose="02040503050406030204" pitchFamily="18" charset="0"/>
                        </a:rPr>
                        <m:t> </m:t>
                      </m:r>
                      <m:sSup>
                        <m:sSupPr>
                          <m:ctrlPr>
                            <a:rPr lang="en-US" sz="1200" b="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𝑑</m:t>
                          </m:r>
                        </m:e>
                        <m:sup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  <m:r>
                        <a:rPr lang="en-US" sz="1200" b="0" i="1">
                          <a:latin typeface="Cambria Math" panose="02040503050406030204" pitchFamily="18" charset="0"/>
                        </a:rPr>
                        <m:t> </m:t>
                      </m:r>
                    </m:den>
                  </m:f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422" name="TextBox 421"/>
            <xdr:cNvSpPr txBox="1"/>
          </xdr:nvSpPr>
          <xdr:spPr>
            <a:xfrm>
              <a:off x="568116" y="11832179"/>
              <a:ext cx="699359" cy="2848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200" b="0" i="0">
                  <a:latin typeface="Cambria Math" panose="02040503050406030204" pitchFamily="18" charset="0"/>
                </a:rPr>
                <a:t>𝑅_𝑢</a:t>
              </a:r>
              <a:r>
                <a:rPr lang="en-US" sz="1200"/>
                <a:t> </a:t>
              </a:r>
              <a:r>
                <a:rPr lang="en-US" sz="1400"/>
                <a:t>=</a:t>
              </a:r>
              <a:r>
                <a:rPr lang="en-US" sz="1200"/>
                <a:t> </a:t>
              </a:r>
              <a:r>
                <a:rPr lang="en-US" sz="1200" b="0" i="0">
                  <a:latin typeface="Cambria Math" panose="02040503050406030204" pitchFamily="18" charset="0"/>
                </a:rPr>
                <a:t>𝑀_𝑢/(</a:t>
              </a:r>
              <a:r>
                <a:rPr lang="el-GR" sz="1200" i="0">
                  <a:latin typeface="Cambria Math" panose="02040503050406030204" pitchFamily="18" charset="0"/>
                </a:rPr>
                <a:t>ϕ</a:t>
              </a:r>
              <a:r>
                <a:rPr lang="en-US" sz="1200" b="0" i="0">
                  <a:latin typeface="Cambria Math" panose="02040503050406030204" pitchFamily="18" charset="0"/>
                </a:rPr>
                <a:t> 𝑏 𝑑^2 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38329</xdr:colOff>
      <xdr:row>101</xdr:row>
      <xdr:rowOff>85884</xdr:rowOff>
    </xdr:from>
    <xdr:ext cx="1878848" cy="3767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3" name="TextBox 422">
              <a:extLst>
                <a:ext uri="{FF2B5EF4-FFF2-40B4-BE49-F238E27FC236}">
                  <a16:creationId xmlns:a16="http://schemas.microsoft.com/office/drawing/2014/main" id="{00000000-0008-0000-0000-0000A7010000}"/>
                </a:ext>
              </a:extLst>
            </xdr:cNvPr>
            <xdr:cNvSpPr txBox="1"/>
          </xdr:nvSpPr>
          <xdr:spPr>
            <a:xfrm>
              <a:off x="581254" y="12154059"/>
              <a:ext cx="1878848" cy="3767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 </a:t>
              </a:r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</a:rPr>
                        <m:t>0.85 </m:t>
                      </m:r>
                      <m:sSub>
                        <m:sSubPr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𝑓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′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𝑐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𝑓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𝑦</m:t>
                          </m:r>
                        </m:sub>
                      </m:sSub>
                    </m:den>
                  </m:f>
                  <m:r>
                    <a:rPr lang="en-US" sz="1100" b="0" i="1">
                      <a:latin typeface="Cambria Math" panose="02040503050406030204" pitchFamily="18" charset="0"/>
                    </a:rPr>
                    <m:t> </m:t>
                  </m:r>
                  <m:d>
                    <m:dPr>
                      <m:begChr m:val="["/>
                      <m:endChr m:val="]"/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1−</m:t>
                      </m:r>
                      <m:rad>
                        <m:radPr>
                          <m:degHide m:val="on"/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radPr>
                        <m:deg/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1−</m:t>
                          </m:r>
                          <m:f>
                            <m:fPr>
                              <m:ctrlPr>
                                <a:rPr lang="en-US" sz="1100" b="0" i="1">
                                  <a:latin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2</m:t>
                              </m:r>
                              <m:sSub>
                                <m:sSubPr>
                                  <m:ctrlP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</m:ctrlPr>
                                </m:sSubPr>
                                <m:e>
                                  <m: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  <m:t>𝑅</m:t>
                                  </m:r>
                                </m:e>
                                <m:sub>
                                  <m: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  <m:t>𝑢</m:t>
                                  </m:r>
                                </m:sub>
                              </m:sSub>
                            </m:num>
                            <m:den>
                              <m:r>
                                <a:rPr lang="en-US" sz="1100" b="0" i="1">
                                  <a:latin typeface="Cambria Math" panose="02040503050406030204" pitchFamily="18" charset="0"/>
                                </a:rPr>
                                <m:t>0.85</m:t>
                              </m:r>
                              <m:sSub>
                                <m:sSubPr>
                                  <m:ctrlP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</m:ctrlPr>
                                </m:sSubPr>
                                <m:e>
                                  <m: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  <m:t>𝑓</m:t>
                                  </m:r>
                                  <m: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  <m:t>′</m:t>
                                  </m:r>
                                </m:e>
                                <m:sub>
                                  <m: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  <m:t>𝑐</m:t>
                                  </m:r>
                                </m:sub>
                              </m:sSub>
                            </m:den>
                          </m:f>
                        </m:e>
                      </m:rad>
                    </m:e>
                  </m:d>
                  <m:r>
                    <a:rPr lang="en-US" sz="1100" b="0" i="1">
                      <a:latin typeface="Cambria Math" panose="02040503050406030204" pitchFamily="18" charset="0"/>
                    </a:rPr>
                    <m:t>   </m:t>
                  </m:r>
                </m:oMath>
              </a14:m>
              <a:endParaRPr lang="en-US" sz="1050"/>
            </a:p>
          </xdr:txBody>
        </xdr:sp>
      </mc:Choice>
      <mc:Fallback xmlns="">
        <xdr:sp macro="" textlink="">
          <xdr:nvSpPr>
            <xdr:cNvPr id="423" name="TextBox 422"/>
            <xdr:cNvSpPr txBox="1"/>
          </xdr:nvSpPr>
          <xdr:spPr>
            <a:xfrm>
              <a:off x="581254" y="12154059"/>
              <a:ext cx="1878848" cy="3767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600"/>
                <a:t>ρ</a:t>
              </a:r>
              <a:r>
                <a:rPr lang="en-US" sz="900"/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=  (0.85 〖𝑓′〗_𝑐)/𝑓_𝑦   [1−√(1−(2𝑅_𝑢)/(0.85〖𝑓′〗_𝑐 ))]    </a:t>
              </a:r>
              <a:endParaRPr lang="en-US" sz="1050"/>
            </a:p>
          </xdr:txBody>
        </xdr:sp>
      </mc:Fallback>
    </mc:AlternateContent>
    <xdr:clientData/>
  </xdr:oneCellAnchor>
  <xdr:oneCellAnchor>
    <xdr:from>
      <xdr:col>3</xdr:col>
      <xdr:colOff>99392</xdr:colOff>
      <xdr:row>107</xdr:row>
      <xdr:rowOff>8282</xdr:rowOff>
    </xdr:from>
    <xdr:ext cx="79194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4" name="TextBox 423">
              <a:extLst>
                <a:ext uri="{FF2B5EF4-FFF2-40B4-BE49-F238E27FC236}">
                  <a16:creationId xmlns:a16="http://schemas.microsoft.com/office/drawing/2014/main" id="{00000000-0008-0000-0000-0000A8010000}"/>
                </a:ext>
              </a:extLst>
            </xdr:cNvPr>
            <xdr:cNvSpPr txBox="1"/>
          </xdr:nvSpPr>
          <xdr:spPr>
            <a:xfrm>
              <a:off x="642317" y="13219457"/>
              <a:ext cx="7919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</m:oMath>
              </a14:m>
              <a:r>
                <a:rPr lang="en-US" sz="1100"/>
                <a:t> =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el-GR" sz="1100" i="1">
                          <a:latin typeface="Cambria Math" panose="02040503050406030204" pitchFamily="18" charset="0"/>
                        </a:rPr>
                        <m:t>ρ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𝑚𝑎𝑥</m:t>
                      </m:r>
                    </m:sub>
                  </m:sSub>
                </m:oMath>
              </a14:m>
              <a:r>
                <a:rPr lang="en-US" sz="1100"/>
                <a:t>bd</a:t>
              </a:r>
            </a:p>
          </xdr:txBody>
        </xdr:sp>
      </mc:Choice>
      <mc:Fallback xmlns="">
        <xdr:sp macro="" textlink="">
          <xdr:nvSpPr>
            <xdr:cNvPr id="424" name="TextBox 423"/>
            <xdr:cNvSpPr txBox="1"/>
          </xdr:nvSpPr>
          <xdr:spPr>
            <a:xfrm>
              <a:off x="642317" y="13219457"/>
              <a:ext cx="7919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𝐴_𝑠1</a:t>
              </a:r>
              <a:r>
                <a:rPr lang="en-US" sz="1100"/>
                <a:t> = </a:t>
              </a:r>
              <a:r>
                <a:rPr lang="el-GR" sz="1100" i="0">
                  <a:latin typeface="Cambria Math" panose="02040503050406030204" pitchFamily="18" charset="0"/>
                </a:rPr>
                <a:t>ρ</a:t>
              </a:r>
              <a:r>
                <a:rPr lang="en-US" sz="110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𝑚𝑎𝑥</a:t>
              </a:r>
              <a:r>
                <a:rPr lang="en-US" sz="1100"/>
                <a:t>bd</a:t>
              </a:r>
            </a:p>
          </xdr:txBody>
        </xdr:sp>
      </mc:Fallback>
    </mc:AlternateContent>
    <xdr:clientData/>
  </xdr:oneCellAnchor>
  <xdr:oneCellAnchor>
    <xdr:from>
      <xdr:col>3</xdr:col>
      <xdr:colOff>99391</xdr:colOff>
      <xdr:row>108</xdr:row>
      <xdr:rowOff>0</xdr:rowOff>
    </xdr:from>
    <xdr:ext cx="1111266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5" name="TextBox 424">
              <a:extLst>
                <a:ext uri="{FF2B5EF4-FFF2-40B4-BE49-F238E27FC236}">
                  <a16:creationId xmlns:a16="http://schemas.microsoft.com/office/drawing/2014/main" id="{00000000-0008-0000-0000-0000A9010000}"/>
                </a:ext>
              </a:extLst>
            </xdr:cNvPr>
            <xdr:cNvSpPr txBox="1"/>
          </xdr:nvSpPr>
          <xdr:spPr>
            <a:xfrm>
              <a:off x="642316" y="13401675"/>
              <a:ext cx="1111266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/>
                <a:t>0.85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𝑎𝑏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=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𝑓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𝑦</m:t>
                      </m:r>
                    </m:sub>
                  </m:sSub>
                  <m:sSubSup>
                    <m:sSubSup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𝑓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𝑐</m:t>
                      </m:r>
                    </m:sub>
                    <m:sup>
                      <m:r>
                        <a:rPr lang="en-US" sz="1100" b="0" i="1">
                          <a:latin typeface="Cambria Math" panose="02040503050406030204" pitchFamily="18" charset="0"/>
                        </a:rPr>
                        <m:t>′</m:t>
                      </m:r>
                    </m:sup>
                  </m:sSubSup>
                </m:oMath>
              </a14:m>
              <a:r>
                <a:rPr lang="en-US" sz="1100"/>
                <a:t> </a:t>
              </a:r>
            </a:p>
          </xdr:txBody>
        </xdr:sp>
      </mc:Choice>
      <mc:Fallback xmlns="">
        <xdr:sp macro="" textlink="">
          <xdr:nvSpPr>
            <xdr:cNvPr id="425" name="TextBox 424"/>
            <xdr:cNvSpPr txBox="1"/>
          </xdr:nvSpPr>
          <xdr:spPr>
            <a:xfrm>
              <a:off x="642316" y="13401675"/>
              <a:ext cx="1111266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/>
                <a:t>0.85</a:t>
              </a:r>
              <a:r>
                <a:rPr lang="en-US" sz="1100" b="0" i="0">
                  <a:latin typeface="Cambria Math" panose="02040503050406030204" pitchFamily="18" charset="0"/>
                </a:rPr>
                <a:t>𝑓_𝑐^′</a:t>
              </a:r>
              <a:r>
                <a:rPr lang="en-US" sz="1100" i="0">
                  <a:latin typeface="Cambria Math" panose="02040503050406030204" pitchFamily="18" charset="0"/>
                </a:rPr>
                <a:t>﷮﷯〖</a:t>
              </a:r>
              <a:r>
                <a:rPr lang="en-US" sz="1100" b="0" i="0">
                  <a:latin typeface="Cambria Math" panose="02040503050406030204" pitchFamily="18" charset="0"/>
                </a:rPr>
                <a:t> 𝑎𝑏=𝐴〗_𝑠1 𝑓_𝑦</a:t>
              </a:r>
              <a:r>
                <a:rPr lang="en-US" sz="1100"/>
                <a:t> </a:t>
              </a:r>
            </a:p>
          </xdr:txBody>
        </xdr:sp>
      </mc:Fallback>
    </mc:AlternateContent>
    <xdr:clientData/>
  </xdr:oneCellAnchor>
  <xdr:oneCellAnchor>
    <xdr:from>
      <xdr:col>3</xdr:col>
      <xdr:colOff>107674</xdr:colOff>
      <xdr:row>110</xdr:row>
      <xdr:rowOff>0</xdr:rowOff>
    </xdr:from>
    <xdr:ext cx="1258230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6" name="TextBox 425">
              <a:extLst>
                <a:ext uri="{FF2B5EF4-FFF2-40B4-BE49-F238E27FC236}">
                  <a16:creationId xmlns:a16="http://schemas.microsoft.com/office/drawing/2014/main" id="{00000000-0008-0000-0000-0000AA010000}"/>
                </a:ext>
              </a:extLst>
            </xdr:cNvPr>
            <xdr:cNvSpPr txBox="1"/>
          </xdr:nvSpPr>
          <xdr:spPr>
            <a:xfrm>
              <a:off x="650599" y="13782675"/>
              <a:ext cx="125823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𝑀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𝑢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</m:oMath>
              </a14:m>
              <a:r>
                <a:rPr lang="en-US" sz="1100"/>
                <a:t>= </a:t>
              </a:r>
              <a:r>
                <a:rPr lang="el-GR" sz="1100"/>
                <a:t>φ</a:t>
              </a:r>
              <a14:m>
                <m:oMath xmlns:m="http://schemas.openxmlformats.org/officeDocument/2006/math">
                  <m:sSub>
                    <m:sSubPr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  <m:sSub>
                    <m:sSubPr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𝑓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𝑦</m:t>
                      </m:r>
                    </m:sub>
                  </m:sSub>
                </m:oMath>
              </a14:m>
              <a:r>
                <a:rPr lang="en-US" sz="1100"/>
                <a:t>(d</a:t>
              </a:r>
              <a:r>
                <a:rPr lang="en-US" sz="1100" baseline="0"/>
                <a:t> - a/2)</a:t>
              </a:r>
              <a:r>
                <a:rPr lang="en-US" sz="1100"/>
                <a:t> </a:t>
              </a:r>
            </a:p>
          </xdr:txBody>
        </xdr:sp>
      </mc:Choice>
      <mc:Fallback xmlns="">
        <xdr:sp macro="" textlink="">
          <xdr:nvSpPr>
            <xdr:cNvPr id="426" name="TextBox 425"/>
            <xdr:cNvSpPr txBox="1"/>
          </xdr:nvSpPr>
          <xdr:spPr>
            <a:xfrm>
              <a:off x="650599" y="13782675"/>
              <a:ext cx="125823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𝑀_𝑢1</a:t>
              </a:r>
              <a:r>
                <a:rPr lang="en-US" sz="1100"/>
                <a:t>= </a:t>
              </a:r>
              <a:r>
                <a:rPr lang="el-GR" sz="1100"/>
                <a:t>φ</a:t>
              </a:r>
              <a:r>
                <a:rPr lang="en-US" sz="1100" b="0" i="0">
                  <a:latin typeface="Cambria Math" panose="02040503050406030204" pitchFamily="18" charset="0"/>
                </a:rPr>
                <a:t>𝐴</a:t>
              </a:r>
              <a:r>
                <a:rPr lang="el-GR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𝑠1</a:t>
              </a:r>
              <a:r>
                <a:rPr lang="el-GR" sz="1100" b="0" i="0">
                  <a:latin typeface="Cambria Math" panose="02040503050406030204" pitchFamily="18" charset="0"/>
                </a:rPr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𝑓</a:t>
              </a:r>
              <a:r>
                <a:rPr lang="el-GR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𝑦</a:t>
              </a:r>
              <a:r>
                <a:rPr lang="en-US" sz="1100"/>
                <a:t>(d</a:t>
              </a:r>
              <a:r>
                <a:rPr lang="en-US" sz="1100" baseline="0"/>
                <a:t> - a/2)</a:t>
              </a:r>
              <a:r>
                <a:rPr lang="en-US" sz="1100"/>
                <a:t> </a:t>
              </a:r>
            </a:p>
          </xdr:txBody>
        </xdr:sp>
      </mc:Fallback>
    </mc:AlternateContent>
    <xdr:clientData/>
  </xdr:oneCellAnchor>
  <xdr:oneCellAnchor>
    <xdr:from>
      <xdr:col>3</xdr:col>
      <xdr:colOff>99392</xdr:colOff>
      <xdr:row>111</xdr:row>
      <xdr:rowOff>0</xdr:rowOff>
    </xdr:from>
    <xdr:ext cx="89672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7" name="TextBox 426">
              <a:extLst>
                <a:ext uri="{FF2B5EF4-FFF2-40B4-BE49-F238E27FC236}">
                  <a16:creationId xmlns:a16="http://schemas.microsoft.com/office/drawing/2014/main" id="{00000000-0008-0000-0000-0000AB010000}"/>
                </a:ext>
              </a:extLst>
            </xdr:cNvPr>
            <xdr:cNvSpPr txBox="1"/>
          </xdr:nvSpPr>
          <xdr:spPr>
            <a:xfrm>
              <a:off x="642317" y="13973175"/>
              <a:ext cx="89672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𝑀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𝑢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2</m:t>
                      </m:r>
                    </m:sub>
                  </m:sSub>
                </m:oMath>
              </a14:m>
              <a:r>
                <a:rPr lang="en-US" sz="1100"/>
                <a:t>=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𝑀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𝑢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 − </m:t>
                      </m:r>
                    </m:sub>
                  </m:sSub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𝑀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𝑢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427" name="TextBox 426"/>
            <xdr:cNvSpPr txBox="1"/>
          </xdr:nvSpPr>
          <xdr:spPr>
            <a:xfrm>
              <a:off x="642317" y="13973175"/>
              <a:ext cx="89672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𝑀_𝑢2</a:t>
              </a:r>
              <a:r>
                <a:rPr lang="en-US" sz="1100"/>
                <a:t>= </a:t>
              </a:r>
              <a:r>
                <a:rPr lang="en-US" sz="1100" b="0" i="0">
                  <a:latin typeface="Cambria Math" panose="02040503050406030204" pitchFamily="18" charset="0"/>
                </a:rPr>
                <a:t>𝑀_(𝑢 − ) 𝑀_𝑢1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99391</xdr:colOff>
      <xdr:row>112</xdr:row>
      <xdr:rowOff>0</xdr:rowOff>
    </xdr:from>
    <xdr:ext cx="1172244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8" name="TextBox 427">
              <a:extLst>
                <a:ext uri="{FF2B5EF4-FFF2-40B4-BE49-F238E27FC236}">
                  <a16:creationId xmlns:a16="http://schemas.microsoft.com/office/drawing/2014/main" id="{00000000-0008-0000-0000-0000AC010000}"/>
                </a:ext>
              </a:extLst>
            </xdr:cNvPr>
            <xdr:cNvSpPr txBox="1"/>
          </xdr:nvSpPr>
          <xdr:spPr>
            <a:xfrm>
              <a:off x="642316" y="14163675"/>
              <a:ext cx="1172244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𝑀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𝑢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2</m:t>
                      </m:r>
                    </m:sub>
                  </m:sSub>
                </m:oMath>
              </a14:m>
              <a:r>
                <a:rPr lang="en-US" sz="1100"/>
                <a:t>= </a:t>
              </a:r>
              <a:r>
                <a:rPr lang="el-GR" sz="1100"/>
                <a:t>φ</a:t>
              </a:r>
              <a14:m>
                <m:oMath xmlns:m="http://schemas.openxmlformats.org/officeDocument/2006/math">
                  <m:sSub>
                    <m:sSubPr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2</m:t>
                      </m:r>
                    </m:sub>
                  </m:sSub>
                  <m:sSub>
                    <m:sSubPr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𝑓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𝑦</m:t>
                      </m:r>
                    </m:sub>
                  </m:sSub>
                </m:oMath>
              </a14:m>
              <a:r>
                <a:rPr lang="en-US" sz="1100"/>
                <a:t>(d</a:t>
              </a:r>
              <a:r>
                <a:rPr lang="en-US" sz="1100" baseline="0"/>
                <a:t> -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i="1" baseline="0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 baseline="0">
                          <a:latin typeface="Cambria Math" panose="02040503050406030204" pitchFamily="18" charset="0"/>
                        </a:rPr>
                        <m:t>𝑑</m:t>
                      </m:r>
                    </m:e>
                    <m:sub>
                      <m:r>
                        <a:rPr lang="en-US" sz="1100" b="0" i="1" baseline="0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</m:oMath>
              </a14:m>
              <a:r>
                <a:rPr lang="en-US" sz="1100"/>
                <a:t>)</a:t>
              </a:r>
            </a:p>
          </xdr:txBody>
        </xdr:sp>
      </mc:Choice>
      <mc:Fallback xmlns="">
        <xdr:sp macro="" textlink="">
          <xdr:nvSpPr>
            <xdr:cNvPr id="428" name="TextBox 427"/>
            <xdr:cNvSpPr txBox="1"/>
          </xdr:nvSpPr>
          <xdr:spPr>
            <a:xfrm>
              <a:off x="642316" y="14163675"/>
              <a:ext cx="1172244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𝑀_𝑢2</a:t>
              </a:r>
              <a:r>
                <a:rPr lang="en-US" sz="1100"/>
                <a:t>= </a:t>
              </a:r>
              <a:r>
                <a:rPr lang="el-GR" sz="1100"/>
                <a:t>φ</a:t>
              </a:r>
              <a:r>
                <a:rPr lang="en-US" sz="1100" b="0" i="0">
                  <a:latin typeface="Cambria Math" panose="02040503050406030204" pitchFamily="18" charset="0"/>
                </a:rPr>
                <a:t>𝐴</a:t>
              </a:r>
              <a:r>
                <a:rPr lang="el-GR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𝑠2</a:t>
              </a:r>
              <a:r>
                <a:rPr lang="el-GR" sz="1100" b="0" i="0">
                  <a:latin typeface="Cambria Math" panose="02040503050406030204" pitchFamily="18" charset="0"/>
                </a:rPr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𝑓</a:t>
              </a:r>
              <a:r>
                <a:rPr lang="el-GR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𝑦</a:t>
              </a:r>
              <a:r>
                <a:rPr lang="en-US" sz="1100"/>
                <a:t>(d</a:t>
              </a:r>
              <a:r>
                <a:rPr lang="en-US" sz="1100" baseline="0"/>
                <a:t> - </a:t>
              </a:r>
              <a:r>
                <a:rPr lang="en-US" sz="1100" b="0" i="0" baseline="0">
                  <a:latin typeface="Cambria Math" panose="02040503050406030204" pitchFamily="18" charset="0"/>
                </a:rPr>
                <a:t>𝑑_1</a:t>
              </a:r>
              <a:r>
                <a:rPr lang="en-US" sz="1100"/>
                <a:t>)</a:t>
              </a:r>
            </a:p>
          </xdr:txBody>
        </xdr:sp>
      </mc:Fallback>
    </mc:AlternateContent>
    <xdr:clientData/>
  </xdr:oneCellAnchor>
  <xdr:oneCellAnchor>
    <xdr:from>
      <xdr:col>9</xdr:col>
      <xdr:colOff>0</xdr:colOff>
      <xdr:row>113</xdr:row>
      <xdr:rowOff>0</xdr:rowOff>
    </xdr:from>
    <xdr:ext cx="30276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9" name="TextBox 428">
              <a:extLst>
                <a:ext uri="{FF2B5EF4-FFF2-40B4-BE49-F238E27FC236}">
                  <a16:creationId xmlns:a16="http://schemas.microsoft.com/office/drawing/2014/main" id="{00000000-0008-0000-0000-0000AD010000}"/>
                </a:ext>
              </a:extLst>
            </xdr:cNvPr>
            <xdr:cNvSpPr txBox="1"/>
          </xdr:nvSpPr>
          <xdr:spPr>
            <a:xfrm flipH="1">
              <a:off x="1657350" y="14354175"/>
              <a:ext cx="30276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29" name="TextBox 428"/>
            <xdr:cNvSpPr txBox="1"/>
          </xdr:nvSpPr>
          <xdr:spPr>
            <a:xfrm flipH="1">
              <a:off x="1657350" y="14354175"/>
              <a:ext cx="30276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𝐴_𝑠2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99391</xdr:colOff>
      <xdr:row>113</xdr:row>
      <xdr:rowOff>107674</xdr:rowOff>
    </xdr:from>
    <xdr:ext cx="883319" cy="3160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0" name="TextBox 429">
              <a:extLst>
                <a:ext uri="{FF2B5EF4-FFF2-40B4-BE49-F238E27FC236}">
                  <a16:creationId xmlns:a16="http://schemas.microsoft.com/office/drawing/2014/main" id="{00000000-0008-0000-0000-0000AE010000}"/>
                </a:ext>
              </a:extLst>
            </xdr:cNvPr>
            <xdr:cNvSpPr txBox="1"/>
          </xdr:nvSpPr>
          <xdr:spPr>
            <a:xfrm>
              <a:off x="642316" y="14461849"/>
              <a:ext cx="883319" cy="3160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𝑓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′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</m:sub>
                  </m:sSub>
                </m:oMath>
              </a14:m>
              <a:r>
                <a:rPr lang="en-US" sz="1100"/>
                <a:t>= 600</a:t>
              </a:r>
              <a14:m>
                <m:oMath xmlns:m="http://schemas.openxmlformats.org/officeDocument/2006/math">
                  <m:d>
                    <m:d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𝑐</m:t>
                          </m:r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− </m:t>
                          </m:r>
                          <m:sSup>
                            <m:sSupPr>
                              <m:ctrlP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𝑑</m:t>
                              </m:r>
                            </m:e>
                            <m:sup>
                              <m: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′</m:t>
                              </m:r>
                            </m:sup>
                          </m:sSup>
                        </m:num>
                        <m:den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𝑐</m:t>
                          </m:r>
                        </m:den>
                      </m:f>
                    </m:e>
                  </m:d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430" name="TextBox 429"/>
            <xdr:cNvSpPr txBox="1"/>
          </xdr:nvSpPr>
          <xdr:spPr>
            <a:xfrm>
              <a:off x="642316" y="14461849"/>
              <a:ext cx="883319" cy="3160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𝑓′〗_𝑠</a:t>
              </a:r>
              <a:r>
                <a:rPr lang="en-US" sz="1100"/>
                <a:t>= 600</a:t>
              </a:r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𝑐 − 𝑑^′)/𝑐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0</xdr:colOff>
      <xdr:row>114</xdr:row>
      <xdr:rowOff>0</xdr:rowOff>
    </xdr:from>
    <xdr:ext cx="20364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1" name="TextBox 430">
              <a:extLst>
                <a:ext uri="{FF2B5EF4-FFF2-40B4-BE49-F238E27FC236}">
                  <a16:creationId xmlns:a16="http://schemas.microsoft.com/office/drawing/2014/main" id="{00000000-0008-0000-0000-0000AF010000}"/>
                </a:ext>
              </a:extLst>
            </xdr:cNvPr>
            <xdr:cNvSpPr txBox="1"/>
          </xdr:nvSpPr>
          <xdr:spPr>
            <a:xfrm>
              <a:off x="1657350" y="14544675"/>
              <a:ext cx="2036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31" name="TextBox 430"/>
            <xdr:cNvSpPr txBox="1"/>
          </xdr:nvSpPr>
          <xdr:spPr>
            <a:xfrm>
              <a:off x="1657350" y="14544675"/>
              <a:ext cx="2036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𝑓′〗_𝑠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132522</xdr:colOff>
      <xdr:row>119</xdr:row>
      <xdr:rowOff>0</xdr:rowOff>
    </xdr:from>
    <xdr:ext cx="70000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2" name="TextBox 431">
              <a:extLst>
                <a:ext uri="{FF2B5EF4-FFF2-40B4-BE49-F238E27FC236}">
                  <a16:creationId xmlns:a16="http://schemas.microsoft.com/office/drawing/2014/main" id="{00000000-0008-0000-0000-0000B0010000}"/>
                </a:ext>
              </a:extLst>
            </xdr:cNvPr>
            <xdr:cNvSpPr txBox="1"/>
          </xdr:nvSpPr>
          <xdr:spPr>
            <a:xfrm>
              <a:off x="1037397" y="15497175"/>
              <a:ext cx="7000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𝑠</m:t>
                      </m:r>
                    </m:sub>
                  </m:sSub>
                </m:oMath>
              </a14:m>
              <a:r>
                <a:rPr lang="en-US" sz="1100"/>
                <a:t> required </a:t>
              </a:r>
            </a:p>
          </xdr:txBody>
        </xdr:sp>
      </mc:Choice>
      <mc:Fallback xmlns="">
        <xdr:sp macro="" textlink="">
          <xdr:nvSpPr>
            <xdr:cNvPr id="432" name="TextBox 431"/>
            <xdr:cNvSpPr txBox="1"/>
          </xdr:nvSpPr>
          <xdr:spPr>
            <a:xfrm>
              <a:off x="1037397" y="15497175"/>
              <a:ext cx="7000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𝐴_𝑠</a:t>
              </a:r>
              <a:r>
                <a:rPr lang="en-US" sz="1100"/>
                <a:t> required </a:t>
              </a:r>
            </a:p>
          </xdr:txBody>
        </xdr:sp>
      </mc:Fallback>
    </mc:AlternateContent>
    <xdr:clientData/>
  </xdr:oneCellAnchor>
  <xdr:oneCellAnchor>
    <xdr:from>
      <xdr:col>5</xdr:col>
      <xdr:colOff>115956</xdr:colOff>
      <xdr:row>120</xdr:row>
      <xdr:rowOff>0</xdr:rowOff>
    </xdr:from>
    <xdr:ext cx="75059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3" name="TextBox 432">
              <a:extLst>
                <a:ext uri="{FF2B5EF4-FFF2-40B4-BE49-F238E27FC236}">
                  <a16:creationId xmlns:a16="http://schemas.microsoft.com/office/drawing/2014/main" id="{00000000-0008-0000-0000-0000B1010000}"/>
                </a:ext>
              </a:extLst>
            </xdr:cNvPr>
            <xdr:cNvSpPr txBox="1"/>
          </xdr:nvSpPr>
          <xdr:spPr>
            <a:xfrm>
              <a:off x="1020831" y="15687675"/>
              <a:ext cx="7505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𝑠</m:t>
                      </m:r>
                    </m:sub>
                  </m:sSub>
                </m:oMath>
              </a14:m>
              <a:r>
                <a:rPr lang="en-US" sz="1100"/>
                <a:t> provided  </a:t>
              </a:r>
            </a:p>
          </xdr:txBody>
        </xdr:sp>
      </mc:Choice>
      <mc:Fallback xmlns="">
        <xdr:sp macro="" textlink="">
          <xdr:nvSpPr>
            <xdr:cNvPr id="433" name="TextBox 432"/>
            <xdr:cNvSpPr txBox="1"/>
          </xdr:nvSpPr>
          <xdr:spPr>
            <a:xfrm>
              <a:off x="1020831" y="15687675"/>
              <a:ext cx="7505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𝐴_𝑠</a:t>
              </a:r>
              <a:r>
                <a:rPr lang="en-US" sz="1100"/>
                <a:t> provided  </a:t>
              </a:r>
            </a:p>
          </xdr:txBody>
        </xdr:sp>
      </mc:Fallback>
    </mc:AlternateContent>
    <xdr:clientData/>
  </xdr:oneCellAnchor>
  <xdr:oneCellAnchor>
    <xdr:from>
      <xdr:col>10</xdr:col>
      <xdr:colOff>0</xdr:colOff>
      <xdr:row>119</xdr:row>
      <xdr:rowOff>0</xdr:rowOff>
    </xdr:from>
    <xdr:ext cx="73879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4" name="TextBox 433">
              <a:extLst>
                <a:ext uri="{FF2B5EF4-FFF2-40B4-BE49-F238E27FC236}">
                  <a16:creationId xmlns:a16="http://schemas.microsoft.com/office/drawing/2014/main" id="{00000000-0008-0000-0000-0000B2010000}"/>
                </a:ext>
              </a:extLst>
            </xdr:cNvPr>
            <xdr:cNvSpPr txBox="1"/>
          </xdr:nvSpPr>
          <xdr:spPr>
            <a:xfrm>
              <a:off x="1885950" y="15497175"/>
              <a:ext cx="73879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  <m:r>
                    <a:rPr lang="en-US" sz="1100" b="0" i="0">
                      <a:latin typeface="Cambria Math" panose="02040503050406030204" pitchFamily="18" charset="0"/>
                    </a:rPr>
                    <m:t>+</m:t>
                  </m:r>
                </m:oMath>
              </a14:m>
              <a:r>
                <a:rPr lang="en-US" sz="1100"/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𝑠</m:t>
                      </m:r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b>
                  </m:sSub>
                </m:oMath>
              </a14:m>
              <a:r>
                <a:rPr lang="en-US" sz="1100"/>
                <a:t>  = </a:t>
              </a:r>
            </a:p>
          </xdr:txBody>
        </xdr:sp>
      </mc:Choice>
      <mc:Fallback xmlns="">
        <xdr:sp macro="" textlink="">
          <xdr:nvSpPr>
            <xdr:cNvPr id="434" name="TextBox 433"/>
            <xdr:cNvSpPr txBox="1"/>
          </xdr:nvSpPr>
          <xdr:spPr>
            <a:xfrm>
              <a:off x="1885950" y="15497175"/>
              <a:ext cx="73879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𝐴_𝑠1+</a:t>
              </a:r>
              <a:r>
                <a:rPr lang="en-US" sz="1100"/>
                <a:t>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𝐴_𝑠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/>
                <a:t>  = </a:t>
              </a:r>
            </a:p>
          </xdr:txBody>
        </xdr:sp>
      </mc:Fallback>
    </mc:AlternateContent>
    <xdr:clientData/>
  </xdr:oneCellAnchor>
  <xdr:oneCellAnchor>
    <xdr:from>
      <xdr:col>17</xdr:col>
      <xdr:colOff>190500</xdr:colOff>
      <xdr:row>101</xdr:row>
      <xdr:rowOff>165652</xdr:rowOff>
    </xdr:from>
    <xdr:ext cx="556178" cy="2778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5" name="TextBox 434">
              <a:extLst>
                <a:ext uri="{FF2B5EF4-FFF2-40B4-BE49-F238E27FC236}">
                  <a16:creationId xmlns:a16="http://schemas.microsoft.com/office/drawing/2014/main" id="{00000000-0008-0000-0000-0000B3010000}"/>
                </a:ext>
              </a:extLst>
            </xdr:cNvPr>
            <xdr:cNvSpPr txBox="1"/>
          </xdr:nvSpPr>
          <xdr:spPr>
            <a:xfrm>
              <a:off x="3429000" y="12233827"/>
              <a:ext cx="556178" cy="2778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el-GR" sz="1100" i="1">
                          <a:latin typeface="Cambria Math" panose="02040503050406030204" pitchFamily="18" charset="0"/>
                        </a:rPr>
                        <m:t>ρ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𝑚𝑖𝑛</m:t>
                      </m:r>
                    </m:sub>
                  </m:sSub>
                </m:oMath>
              </a14:m>
              <a:r>
                <a:rPr lang="en-US" sz="1100"/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1.4</m:t>
                      </m:r>
                    </m:num>
                    <m:den>
                      <m:sSub>
                        <m:sSubPr>
                          <m:ctrlPr>
                            <a:rPr lang="en-US" sz="11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𝑓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𝑦</m:t>
                          </m:r>
                        </m:sub>
                      </m:sSub>
                    </m:den>
                  </m:f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435" name="TextBox 434"/>
            <xdr:cNvSpPr txBox="1"/>
          </xdr:nvSpPr>
          <xdr:spPr>
            <a:xfrm>
              <a:off x="3429000" y="12233827"/>
              <a:ext cx="556178" cy="2778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100" i="0">
                  <a:latin typeface="Cambria Math" panose="02040503050406030204" pitchFamily="18" charset="0"/>
                </a:rPr>
                <a:t>ρ</a:t>
              </a:r>
              <a:r>
                <a:rPr lang="en-US" sz="110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𝑚𝑖𝑛</a:t>
              </a:r>
              <a:r>
                <a:rPr lang="en-US" sz="1100"/>
                <a:t> = </a:t>
              </a:r>
              <a:r>
                <a:rPr lang="en-US" sz="1100" b="0" i="0">
                  <a:latin typeface="Cambria Math" panose="02040503050406030204" pitchFamily="18" charset="0"/>
                </a:rPr>
                <a:t>1.4/𝑓_𝑦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17</xdr:col>
      <xdr:colOff>230256</xdr:colOff>
      <xdr:row>105</xdr:row>
      <xdr:rowOff>159856</xdr:rowOff>
    </xdr:from>
    <xdr:ext cx="1016753" cy="2400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6" name="TextBox 435">
              <a:extLst>
                <a:ext uri="{FF2B5EF4-FFF2-40B4-BE49-F238E27FC236}">
                  <a16:creationId xmlns:a16="http://schemas.microsoft.com/office/drawing/2014/main" id="{00000000-0008-0000-0000-0000B4010000}"/>
                </a:ext>
              </a:extLst>
            </xdr:cNvPr>
            <xdr:cNvSpPr txBox="1"/>
          </xdr:nvSpPr>
          <xdr:spPr>
            <a:xfrm>
              <a:off x="3468756" y="19809931"/>
              <a:ext cx="1016753" cy="2400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el-GR" sz="1100" i="1">
                          <a:latin typeface="Cambria Math" panose="02040503050406030204" pitchFamily="18" charset="0"/>
                        </a:rPr>
                        <m:t>ϕ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𝑉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𝑐</m:t>
                      </m:r>
                    </m:sub>
                  </m:sSub>
                </m:oMath>
              </a14:m>
              <a:r>
                <a:rPr lang="en-US" sz="1100"/>
                <a:t> = </a:t>
              </a:r>
              <a:r>
                <a:rPr lang="el-GR" sz="1100"/>
                <a:t>φ</a:t>
              </a:r>
              <a:r>
                <a:rPr lang="en-US" sz="1100"/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</a:rPr>
                        <m:t>6</m:t>
                      </m:r>
                    </m:den>
                  </m:f>
                  <m:rad>
                    <m:radPr>
                      <m:degHide m:val="on"/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sSub>
                        <m:sSubPr>
                          <m:ctrlPr>
                            <a:rPr lang="el-GR" sz="11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𝑓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′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𝑐</m:t>
                          </m:r>
                        </m:sub>
                      </m:sSub>
                    </m:e>
                  </m:rad>
                </m:oMath>
              </a14:m>
              <a:r>
                <a:rPr lang="en-US" sz="1100"/>
                <a:t> bd</a:t>
              </a:r>
            </a:p>
          </xdr:txBody>
        </xdr:sp>
      </mc:Choice>
      <mc:Fallback xmlns="">
        <xdr:sp macro="" textlink="">
          <xdr:nvSpPr>
            <xdr:cNvPr id="436" name="TextBox 435"/>
            <xdr:cNvSpPr txBox="1"/>
          </xdr:nvSpPr>
          <xdr:spPr>
            <a:xfrm>
              <a:off x="3468756" y="19809931"/>
              <a:ext cx="1016753" cy="2400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el-GR" sz="1100" i="0">
                  <a:latin typeface="Cambria Math" panose="02040503050406030204" pitchFamily="18" charset="0"/>
                </a:rPr>
                <a:t>ϕ</a:t>
              </a:r>
              <a:r>
                <a:rPr lang="en-US" sz="1100" b="0" i="0">
                  <a:latin typeface="Cambria Math" panose="02040503050406030204" pitchFamily="18" charset="0"/>
                </a:rPr>
                <a:t>𝑉〗_𝑐</a:t>
              </a:r>
              <a:r>
                <a:rPr lang="en-US" sz="1100"/>
                <a:t> = </a:t>
              </a:r>
              <a:r>
                <a:rPr lang="el-GR" sz="1100"/>
                <a:t>φ</a:t>
              </a:r>
              <a:r>
                <a:rPr lang="en-US" sz="1100"/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1</a:t>
              </a:r>
              <a:r>
                <a:rPr lang="el-GR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 panose="02040503050406030204" pitchFamily="18" charset="0"/>
                </a:rPr>
                <a:t>6</a:t>
              </a:r>
              <a:r>
                <a:rPr lang="el-GR" sz="1100" b="0" i="0">
                  <a:latin typeface="Cambria Math" panose="02040503050406030204" pitchFamily="18" charset="0"/>
                </a:rPr>
                <a:t> </a:t>
              </a:r>
              <a:r>
                <a:rPr lang="el-GR" sz="1100" i="0">
                  <a:latin typeface="Cambria Math" panose="02040503050406030204" pitchFamily="18" charset="0"/>
                </a:rPr>
                <a:t>√(〖</a:t>
              </a:r>
              <a:r>
                <a:rPr lang="en-US" sz="1100" b="0" i="0">
                  <a:latin typeface="Cambria Math" panose="02040503050406030204" pitchFamily="18" charset="0"/>
                </a:rPr>
                <a:t>𝑓′</a:t>
              </a:r>
              <a:r>
                <a:rPr lang="el-GR" sz="1100" b="0" i="0">
                  <a:latin typeface="Cambria Math" panose="02040503050406030204" pitchFamily="18" charset="0"/>
                </a:rPr>
                <a:t>〗_</a:t>
              </a:r>
              <a:r>
                <a:rPr lang="en-US" sz="1100" b="0" i="0">
                  <a:latin typeface="Cambria Math" panose="02040503050406030204" pitchFamily="18" charset="0"/>
                </a:rPr>
                <a:t>𝑐</a:t>
              </a:r>
              <a:r>
                <a:rPr lang="el-GR" sz="1100" b="0" i="0">
                  <a:latin typeface="Cambria Math" panose="02040503050406030204" pitchFamily="18" charset="0"/>
                </a:rPr>
                <a:t> )</a:t>
              </a:r>
              <a:r>
                <a:rPr lang="en-US" sz="1100"/>
                <a:t> bd</a:t>
              </a:r>
            </a:p>
          </xdr:txBody>
        </xdr:sp>
      </mc:Fallback>
    </mc:AlternateContent>
    <xdr:clientData/>
  </xdr:oneCellAnchor>
  <xdr:oneCellAnchor>
    <xdr:from>
      <xdr:col>21</xdr:col>
      <xdr:colOff>48039</xdr:colOff>
      <xdr:row>108</xdr:row>
      <xdr:rowOff>2485</xdr:rowOff>
    </xdr:from>
    <xdr:ext cx="16145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7" name="TextBox 436">
              <a:extLst>
                <a:ext uri="{FF2B5EF4-FFF2-40B4-BE49-F238E27FC236}">
                  <a16:creationId xmlns:a16="http://schemas.microsoft.com/office/drawing/2014/main" id="{00000000-0008-0000-0000-0000B5010000}"/>
                </a:ext>
              </a:extLst>
            </xdr:cNvPr>
            <xdr:cNvSpPr txBox="1"/>
          </xdr:nvSpPr>
          <xdr:spPr>
            <a:xfrm>
              <a:off x="4248564" y="13404160"/>
              <a:ext cx="16145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𝑢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37" name="TextBox 436"/>
            <xdr:cNvSpPr txBox="1"/>
          </xdr:nvSpPr>
          <xdr:spPr>
            <a:xfrm>
              <a:off x="4248564" y="13404160"/>
              <a:ext cx="16145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𝑉_𝑢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19</xdr:col>
      <xdr:colOff>0</xdr:colOff>
      <xdr:row>108</xdr:row>
      <xdr:rowOff>0</xdr:rowOff>
    </xdr:from>
    <xdr:ext cx="24776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8" name="TextBox 437">
              <a:extLst>
                <a:ext uri="{FF2B5EF4-FFF2-40B4-BE49-F238E27FC236}">
                  <a16:creationId xmlns:a16="http://schemas.microsoft.com/office/drawing/2014/main" id="{00000000-0008-0000-0000-0000B6010000}"/>
                </a:ext>
              </a:extLst>
            </xdr:cNvPr>
            <xdr:cNvSpPr txBox="1"/>
          </xdr:nvSpPr>
          <xdr:spPr>
            <a:xfrm>
              <a:off x="3724275" y="13401675"/>
              <a:ext cx="24776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100" i="1">
                            <a:latin typeface="Cambria Math" panose="02040503050406030204" pitchFamily="18" charset="0"/>
                          </a:rPr>
                          <m:t>ϕ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38" name="TextBox 437"/>
            <xdr:cNvSpPr txBox="1"/>
          </xdr:nvSpPr>
          <xdr:spPr>
            <a:xfrm>
              <a:off x="3724275" y="13401675"/>
              <a:ext cx="24776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el-GR" sz="1100" i="0">
                  <a:latin typeface="Cambria Math" panose="02040503050406030204" pitchFamily="18" charset="0"/>
                </a:rPr>
                <a:t>ϕ</a:t>
              </a:r>
              <a:r>
                <a:rPr lang="en-US" sz="1100" b="0" i="0">
                  <a:latin typeface="Cambria Math" panose="02040503050406030204" pitchFamily="18" charset="0"/>
                </a:rPr>
                <a:t>𝑉〗_𝑐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23</xdr:col>
      <xdr:colOff>0</xdr:colOff>
      <xdr:row>107</xdr:row>
      <xdr:rowOff>82826</xdr:rowOff>
    </xdr:from>
    <xdr:ext cx="34939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9" name="TextBox 438">
              <a:extLst>
                <a:ext uri="{FF2B5EF4-FFF2-40B4-BE49-F238E27FC236}">
                  <a16:creationId xmlns:a16="http://schemas.microsoft.com/office/drawing/2014/main" id="{00000000-0008-0000-0000-0000B7010000}"/>
                </a:ext>
              </a:extLst>
            </xdr:cNvPr>
            <xdr:cNvSpPr txBox="1"/>
          </xdr:nvSpPr>
          <xdr:spPr>
            <a:xfrm>
              <a:off x="4676775" y="13294001"/>
              <a:ext cx="34939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100" i="1">
                            <a:latin typeface="Cambria Math" panose="02040503050406030204" pitchFamily="18" charset="0"/>
                          </a:rPr>
                          <m:t>ϕ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39" name="TextBox 438"/>
            <xdr:cNvSpPr txBox="1"/>
          </xdr:nvSpPr>
          <xdr:spPr>
            <a:xfrm>
              <a:off x="4676775" y="13294001"/>
              <a:ext cx="34939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1/2 </a:t>
              </a:r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el-GR" sz="1100" i="0">
                  <a:latin typeface="Cambria Math" panose="02040503050406030204" pitchFamily="18" charset="0"/>
                </a:rPr>
                <a:t>ϕ</a:t>
              </a:r>
              <a:r>
                <a:rPr lang="en-US" sz="1100" b="0" i="0">
                  <a:latin typeface="Cambria Math" panose="02040503050406030204" pitchFamily="18" charset="0"/>
                </a:rPr>
                <a:t>𝑉〗_𝑐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19</xdr:col>
      <xdr:colOff>97734</xdr:colOff>
      <xdr:row>109</xdr:row>
      <xdr:rowOff>168137</xdr:rowOff>
    </xdr:from>
    <xdr:ext cx="585288" cy="261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0" name="TextBox 439">
              <a:extLst>
                <a:ext uri="{FF2B5EF4-FFF2-40B4-BE49-F238E27FC236}">
                  <a16:creationId xmlns:a16="http://schemas.microsoft.com/office/drawing/2014/main" id="{00000000-0008-0000-0000-0000B8010000}"/>
                </a:ext>
              </a:extLst>
            </xdr:cNvPr>
            <xdr:cNvSpPr txBox="1"/>
          </xdr:nvSpPr>
          <xdr:spPr>
            <a:xfrm>
              <a:off x="3822009" y="13760312"/>
              <a:ext cx="585288" cy="261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𝑉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</m:sub>
                  </m:sSub>
                </m:oMath>
              </a14:m>
              <a:r>
                <a:rPr lang="en-US" sz="1100"/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en-US" sz="11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𝑉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𝑢</m:t>
                          </m:r>
                        </m:sub>
                      </m:sSub>
                    </m:num>
                    <m:den>
                      <m:r>
                        <m:rPr>
                          <m:sty m:val="p"/>
                        </m:rPr>
                        <a:rPr lang="el-GR" sz="1100" i="1">
                          <a:latin typeface="Cambria Math" panose="02040503050406030204" pitchFamily="18" charset="0"/>
                        </a:rPr>
                        <m:t>ϕ</m:t>
                      </m:r>
                    </m:den>
                  </m:f>
                </m:oMath>
              </a14:m>
              <a:r>
                <a:rPr lang="en-US" sz="1100"/>
                <a:t> -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𝑉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𝑐</m:t>
                      </m:r>
                    </m:sub>
                  </m:sSub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440" name="TextBox 439"/>
            <xdr:cNvSpPr txBox="1"/>
          </xdr:nvSpPr>
          <xdr:spPr>
            <a:xfrm>
              <a:off x="3822009" y="13760312"/>
              <a:ext cx="585288" cy="261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𝑉_𝑠</a:t>
              </a:r>
              <a:r>
                <a:rPr lang="en-US" sz="1100"/>
                <a:t> = </a:t>
              </a:r>
              <a:r>
                <a:rPr lang="en-US" sz="1100" b="0" i="0">
                  <a:latin typeface="Cambria Math" panose="02040503050406030204" pitchFamily="18" charset="0"/>
                </a:rPr>
                <a:t>𝑉_𝑢/</a:t>
              </a:r>
              <a:r>
                <a:rPr lang="el-GR" sz="1100" i="0">
                  <a:latin typeface="Cambria Math" panose="02040503050406030204" pitchFamily="18" charset="0"/>
                </a:rPr>
                <a:t>ϕ</a:t>
              </a:r>
              <a:r>
                <a:rPr lang="en-US" sz="1100"/>
                <a:t> - </a:t>
              </a:r>
              <a:r>
                <a:rPr lang="en-US" sz="1100" b="0" i="0">
                  <a:latin typeface="Cambria Math" panose="02040503050406030204" pitchFamily="18" charset="0"/>
                </a:rPr>
                <a:t>𝑉_𝑐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19</xdr:col>
      <xdr:colOff>172277</xdr:colOff>
      <xdr:row>113</xdr:row>
      <xdr:rowOff>143290</xdr:rowOff>
    </xdr:from>
    <xdr:ext cx="512191" cy="3018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1" name="TextBox 440">
              <a:extLst>
                <a:ext uri="{FF2B5EF4-FFF2-40B4-BE49-F238E27FC236}">
                  <a16:creationId xmlns:a16="http://schemas.microsoft.com/office/drawing/2014/main" id="{00000000-0008-0000-0000-0000B9010000}"/>
                </a:ext>
              </a:extLst>
            </xdr:cNvPr>
            <xdr:cNvSpPr txBox="1"/>
          </xdr:nvSpPr>
          <xdr:spPr>
            <a:xfrm>
              <a:off x="3896552" y="14497465"/>
              <a:ext cx="512191" cy="3018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/>
                <a:t>s 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2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en-US" sz="12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𝐴</m:t>
                          </m:r>
                        </m:e>
                        <m:sub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𝑣</m:t>
                          </m:r>
                        </m:sub>
                      </m:sSub>
                      <m:sSub>
                        <m:sSubPr>
                          <m:ctrlPr>
                            <a:rPr lang="en-US" sz="12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𝑓</m:t>
                          </m:r>
                        </m:e>
                        <m:sub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𝑦</m:t>
                          </m:r>
                        </m:sub>
                      </m:sSub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𝑑</m:t>
                      </m:r>
                    </m:num>
                    <m:den>
                      <m:sSub>
                        <m:sSubPr>
                          <m:ctrlPr>
                            <a:rPr lang="en-US" sz="12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𝑉</m:t>
                          </m:r>
                        </m:e>
                        <m:sub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𝑠</m:t>
                          </m:r>
                        </m:sub>
                      </m:sSub>
                    </m:den>
                  </m:f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441" name="TextBox 440"/>
            <xdr:cNvSpPr txBox="1"/>
          </xdr:nvSpPr>
          <xdr:spPr>
            <a:xfrm>
              <a:off x="3896552" y="14497465"/>
              <a:ext cx="512191" cy="3018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/>
                <a:t>s = </a:t>
              </a:r>
              <a:r>
                <a:rPr lang="en-US" sz="1200" i="0">
                  <a:latin typeface="Cambria Math" panose="02040503050406030204" pitchFamily="18" charset="0"/>
                </a:rPr>
                <a:t>(</a:t>
              </a:r>
              <a:r>
                <a:rPr lang="en-US" sz="1200" b="0" i="0">
                  <a:latin typeface="Cambria Math" panose="02040503050406030204" pitchFamily="18" charset="0"/>
                </a:rPr>
                <a:t>𝐴_𝑣 𝑓_𝑦 𝑑)/𝑉_𝑠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21</xdr:col>
      <xdr:colOff>33130</xdr:colOff>
      <xdr:row>115</xdr:row>
      <xdr:rowOff>182218</xdr:rowOff>
    </xdr:from>
    <xdr:ext cx="43249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2" name="TextBox 441">
              <a:extLst>
                <a:ext uri="{FF2B5EF4-FFF2-40B4-BE49-F238E27FC236}">
                  <a16:creationId xmlns:a16="http://schemas.microsoft.com/office/drawing/2014/main" id="{00000000-0008-0000-0000-0000BA010000}"/>
                </a:ext>
              </a:extLst>
            </xdr:cNvPr>
            <xdr:cNvSpPr txBox="1"/>
          </xdr:nvSpPr>
          <xdr:spPr>
            <a:xfrm>
              <a:off x="4233655" y="14917393"/>
              <a:ext cx="43249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𝑆</m:t>
                      </m:r>
                    </m:e>
                    <m:sub>
                      <m:r>
                        <a:rPr lang="en-US" sz="1100" i="1">
                          <a:latin typeface="Cambria Math" panose="02040503050406030204" pitchFamily="18" charset="0"/>
                        </a:rPr>
                        <m:t>𝑚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𝑎𝑥</m:t>
                      </m:r>
                    </m:sub>
                  </m:sSub>
                </m:oMath>
              </a14:m>
              <a:r>
                <a:rPr lang="en-US" sz="1100"/>
                <a:t> = </a:t>
              </a:r>
            </a:p>
          </xdr:txBody>
        </xdr:sp>
      </mc:Choice>
      <mc:Fallback xmlns="">
        <xdr:sp macro="" textlink="">
          <xdr:nvSpPr>
            <xdr:cNvPr id="442" name="TextBox 441"/>
            <xdr:cNvSpPr txBox="1"/>
          </xdr:nvSpPr>
          <xdr:spPr>
            <a:xfrm>
              <a:off x="4233655" y="14917393"/>
              <a:ext cx="43249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𝑆_</a:t>
              </a:r>
              <a:r>
                <a:rPr lang="en-US" sz="1100" i="0">
                  <a:latin typeface="Cambria Math" panose="02040503050406030204" pitchFamily="18" charset="0"/>
                </a:rPr>
                <a:t>𝑚</a:t>
              </a:r>
              <a:r>
                <a:rPr lang="en-US" sz="1100" b="0" i="0">
                  <a:latin typeface="Cambria Math" panose="02040503050406030204" pitchFamily="18" charset="0"/>
                </a:rPr>
                <a:t>𝑎𝑥</a:t>
              </a:r>
              <a:r>
                <a:rPr lang="en-US" sz="1100"/>
                <a:t> = </a:t>
              </a:r>
            </a:p>
          </xdr:txBody>
        </xdr:sp>
      </mc:Fallback>
    </mc:AlternateContent>
    <xdr:clientData/>
  </xdr:oneCellAnchor>
  <xdr:oneCellAnchor>
    <xdr:from>
      <xdr:col>19</xdr:col>
      <xdr:colOff>91109</xdr:colOff>
      <xdr:row>111</xdr:row>
      <xdr:rowOff>173936</xdr:rowOff>
    </xdr:from>
    <xdr:ext cx="1155316" cy="2401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3" name="TextBox 442">
              <a:extLst>
                <a:ext uri="{FF2B5EF4-FFF2-40B4-BE49-F238E27FC236}">
                  <a16:creationId xmlns:a16="http://schemas.microsoft.com/office/drawing/2014/main" id="{00000000-0008-0000-0000-0000BB010000}"/>
                </a:ext>
              </a:extLst>
            </xdr:cNvPr>
            <xdr:cNvSpPr txBox="1"/>
          </xdr:nvSpPr>
          <xdr:spPr>
            <a:xfrm>
              <a:off x="3815384" y="14147111"/>
              <a:ext cx="1155316" cy="2401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𝑖𝑓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𝑉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</m:sub>
                  </m:sSub>
                </m:oMath>
              </a14:m>
              <a:r>
                <a:rPr lang="en-US" sz="1100"/>
                <a:t> </a:t>
              </a:r>
              <a14:m>
                <m:oMath xmlns:m="http://schemas.openxmlformats.org/officeDocument/2006/math">
                  <m:r>
                    <a:rPr lang="en-US" sz="11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≤</m:t>
                  </m:r>
                  <m:r>
                    <a:rPr lang="en-US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en-US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3</m:t>
                      </m:r>
                    </m:den>
                  </m:f>
                  <m:rad>
                    <m:radPr>
                      <m:degHide m:val="on"/>
                      <m:ctrlPr>
                        <a:rPr lang="en-US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radPr>
                    <m:deg/>
                    <m:e>
                      <m:sSub>
                        <m:sSubPr>
                          <m:ctrlPr>
                            <a:rPr lang="en-US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𝑓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′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𝑐</m:t>
                          </m:r>
                        </m:sub>
                      </m:sSub>
                    </m:e>
                  </m:rad>
                </m:oMath>
              </a14:m>
              <a:r>
                <a:rPr lang="en-US" sz="1100"/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𝑏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𝑤</m:t>
                      </m:r>
                    </m:sub>
                  </m:sSub>
                  <m:r>
                    <a:rPr lang="en-US" sz="1100" b="0" i="1">
                      <a:latin typeface="Cambria Math" panose="02040503050406030204" pitchFamily="18" charset="0"/>
                    </a:rPr>
                    <m:t>𝑑</m:t>
                  </m:r>
                </m:oMath>
              </a14:m>
              <a:r>
                <a:rPr lang="en-US" sz="1100"/>
                <a:t> </a:t>
              </a:r>
            </a:p>
          </xdr:txBody>
        </xdr:sp>
      </mc:Choice>
      <mc:Fallback xmlns="">
        <xdr:sp macro="" textlink="">
          <xdr:nvSpPr>
            <xdr:cNvPr id="443" name="TextBox 442"/>
            <xdr:cNvSpPr txBox="1"/>
          </xdr:nvSpPr>
          <xdr:spPr>
            <a:xfrm>
              <a:off x="3815384" y="14147111"/>
              <a:ext cx="1155316" cy="2401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𝑖𝑓 𝑉〗_𝑠</a:t>
              </a:r>
              <a:r>
                <a:rPr lang="en-US" sz="1100"/>
                <a:t> </a:t>
              </a:r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≤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2/3 √(〖𝑓′〗_𝑐 )</a:t>
              </a:r>
              <a:r>
                <a:rPr lang="en-US" sz="1100"/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𝑏_𝑤 𝑑</a:t>
              </a:r>
              <a:r>
                <a:rPr lang="en-US" sz="1100"/>
                <a:t> </a:t>
              </a: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663864</xdr:colOff>
      <xdr:row>10</xdr:row>
      <xdr:rowOff>57727</xdr:rowOff>
    </xdr:from>
    <xdr:to>
      <xdr:col>4</xdr:col>
      <xdr:colOff>481061</xdr:colOff>
      <xdr:row>18</xdr:row>
      <xdr:rowOff>134696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1C8C33-2603-60ED-E15D-C3A6C9874A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094" t="1029" r="15010" b="51211"/>
        <a:stretch/>
      </xdr:blipFill>
      <xdr:spPr>
        <a:xfrm>
          <a:off x="1491288" y="2751666"/>
          <a:ext cx="2299470" cy="2232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mvccse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B1:AZ122"/>
  <sheetViews>
    <sheetView showGridLines="0" tabSelected="1" zoomScaleNormal="100" zoomScaleSheetLayoutView="100" workbookViewId="0">
      <selection activeCell="AO28" sqref="AO28"/>
    </sheetView>
  </sheetViews>
  <sheetFormatPr defaultColWidth="9.140625" defaultRowHeight="15" customHeight="1" x14ac:dyDescent="0.25"/>
  <cols>
    <col min="1" max="1" width="2.140625" style="15" customWidth="1"/>
    <col min="2" max="2" width="3.28515625" style="15" customWidth="1"/>
    <col min="3" max="8" width="2.7109375" style="15" customWidth="1"/>
    <col min="9" max="9" width="3.140625" style="15" customWidth="1"/>
    <col min="10" max="10" width="3.42578125" style="15" customWidth="1"/>
    <col min="11" max="12" width="2.7109375" style="15" customWidth="1"/>
    <col min="13" max="13" width="2.7109375" style="16" customWidth="1"/>
    <col min="14" max="14" width="2.7109375" style="15" customWidth="1"/>
    <col min="15" max="15" width="3" style="15" customWidth="1"/>
    <col min="16" max="16" width="2.85546875" style="15" customWidth="1"/>
    <col min="17" max="18" width="3.42578125" style="15" customWidth="1"/>
    <col min="19" max="19" width="3.7109375" style="15" customWidth="1"/>
    <col min="20" max="27" width="3.42578125" style="15" customWidth="1"/>
    <col min="28" max="28" width="2.85546875" style="15" customWidth="1"/>
    <col min="29" max="29" width="2.28515625" style="15" customWidth="1"/>
    <col min="30" max="30" width="4.42578125" style="17" customWidth="1"/>
    <col min="31" max="31" width="3.42578125" style="17" customWidth="1"/>
    <col min="32" max="32" width="7.42578125" style="17" customWidth="1"/>
    <col min="33" max="33" width="3.42578125" style="17" customWidth="1"/>
    <col min="34" max="34" width="7.85546875" style="18" customWidth="1"/>
    <col min="35" max="35" width="6.42578125" style="18" customWidth="1"/>
    <col min="36" max="38" width="3.140625" style="15" customWidth="1"/>
    <col min="39" max="39" width="8.140625" style="15" customWidth="1"/>
    <col min="40" max="40" width="7.28515625" style="15" customWidth="1"/>
    <col min="41" max="41" width="3.42578125" style="15" customWidth="1"/>
    <col min="42" max="43" width="9.140625" style="15"/>
    <col min="44" max="44" width="2.42578125" style="15" customWidth="1"/>
    <col min="45" max="46" width="9.140625" style="15"/>
    <col min="47" max="47" width="2.28515625" style="15" customWidth="1"/>
    <col min="48" max="49" width="9.140625" style="15"/>
    <col min="50" max="50" width="2" style="15" customWidth="1"/>
    <col min="51" max="16384" width="9.140625" style="15"/>
  </cols>
  <sheetData>
    <row r="1" spans="2:52" ht="9" customHeight="1" thickBot="1" x14ac:dyDescent="0.3"/>
    <row r="2" spans="2:52" s="19" customFormat="1" ht="20.25" customHeight="1" thickTop="1" thickBot="1" x14ac:dyDescent="0.3">
      <c r="B2" s="131" t="s">
        <v>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3"/>
      <c r="AD2"/>
      <c r="AE2"/>
      <c r="AF2"/>
      <c r="AG2"/>
      <c r="AH2"/>
      <c r="AI2"/>
      <c r="AJ2" s="120"/>
      <c r="AK2" s="120"/>
      <c r="AL2" s="120"/>
      <c r="AM2"/>
      <c r="AS2" s="20" t="s">
        <v>11</v>
      </c>
      <c r="AT2" s="20" t="s">
        <v>25</v>
      </c>
      <c r="AV2" s="20" t="s">
        <v>11</v>
      </c>
      <c r="AW2" s="20" t="s">
        <v>25</v>
      </c>
      <c r="AY2" s="20" t="s">
        <v>11</v>
      </c>
      <c r="AZ2" s="20" t="s">
        <v>25</v>
      </c>
    </row>
    <row r="3" spans="2:52" ht="15" customHeight="1" thickTop="1" x14ac:dyDescent="0.3">
      <c r="B3" s="21"/>
      <c r="C3" s="22" t="s">
        <v>119</v>
      </c>
      <c r="R3" s="139" t="s">
        <v>115</v>
      </c>
      <c r="S3" s="139"/>
      <c r="T3" s="139"/>
      <c r="U3" s="139"/>
      <c r="V3" s="139"/>
      <c r="W3" s="139"/>
      <c r="X3" s="139"/>
      <c r="Y3" s="139"/>
      <c r="Z3" s="139"/>
      <c r="AA3" s="139"/>
      <c r="AB3" s="140"/>
      <c r="AD3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S3" s="23">
        <v>0</v>
      </c>
      <c r="AT3" s="23">
        <v>0</v>
      </c>
      <c r="AV3" s="23">
        <v>0</v>
      </c>
      <c r="AW3" s="23">
        <v>0</v>
      </c>
      <c r="AY3" s="23">
        <v>0</v>
      </c>
      <c r="AZ3" s="23">
        <v>0</v>
      </c>
    </row>
    <row r="4" spans="2:52" ht="9.75" customHeight="1" x14ac:dyDescent="0.3">
      <c r="B4" s="24"/>
      <c r="AB4" s="25"/>
      <c r="AD4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S4" s="23">
        <f>IF('B1'!$R$27=2,300,IF('B1'!$R$27=3,150,IF('B1'!$R$27=4,100,IF('B1'!$R$27=5,75,IF('B1'!$R$27=6,60,IF('B1'!$R$27=7,50,IF('B1'!$R$27=8,43,"")))))))</f>
        <v>150</v>
      </c>
      <c r="AT4" s="23">
        <v>0</v>
      </c>
      <c r="AV4" s="23">
        <f>IF('B1'!$R$63=2,300,IF('B1'!$R$63=3,150,IF('B1'!$R$63=4,100,IF('B1'!$R$63=5,75,IF('B1'!$R$63=6,60,IF('B1'!$R$63=7,50,IF('B1'!$R$63=8,43,"")))))))</f>
        <v>150</v>
      </c>
      <c r="AW4" s="23">
        <v>0</v>
      </c>
      <c r="AY4" s="23">
        <f>IF('B1'!$R$99=2,300,IF('B1'!$R$99=3,150,IF('B1'!$R$99=4,100,IF('B1'!$R$99=5,75,IF('B1'!$R$99=6,60,IF('B1'!$R$99=7,50,IF('B1'!$R$99=8,43,"")))))))</f>
        <v>150</v>
      </c>
      <c r="AZ4" s="23">
        <v>0</v>
      </c>
    </row>
    <row r="5" spans="2:52" ht="15" customHeight="1" x14ac:dyDescent="0.3">
      <c r="B5" s="24"/>
      <c r="C5" s="26" t="s">
        <v>13</v>
      </c>
      <c r="K5" s="85" t="s">
        <v>42</v>
      </c>
      <c r="L5" s="85"/>
      <c r="AB5" s="25"/>
      <c r="AD5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S5" s="23">
        <f>IF(AS4=300,0,IF(AS4=150,300,IF(AS4=100,200,IF(AS4=75,150,IF(AS4=60,125,IF(AS4=50,100,IF(AS4=43,85,"")))))))</f>
        <v>300</v>
      </c>
      <c r="AT5" s="23">
        <v>0</v>
      </c>
      <c r="AV5" s="23">
        <f>IF(AV4=300,0,IF(AV4=150,300,IF(AV4=100,200,IF(AV4=75,150,IF(AV4=60,125,IF(AV4=50,100,IF(AV4=43,85,"")))))))</f>
        <v>300</v>
      </c>
      <c r="AW5" s="23">
        <v>0</v>
      </c>
      <c r="AY5" s="23">
        <f>IF(AY4=300,0,IF(AY4=150,300,IF(AY4=100,200,IF(AY4=75,150,IF(AY4=60,125,IF(AY4=50,100,IF(AY4=43,85,"")))))))</f>
        <v>300</v>
      </c>
      <c r="AZ5" s="23">
        <v>0</v>
      </c>
    </row>
    <row r="6" spans="2:52" ht="7.5" customHeight="1" x14ac:dyDescent="0.3">
      <c r="B6" s="24"/>
      <c r="AB6" s="25"/>
      <c r="AD6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S6" s="23">
        <f>IF(AS5=85,130,IF(AS5=100,150,IF(AS5=300,0,IF(AS5=0,0,IF(AS5=200,300,IF(AS5=150,225,IF(AS5=125,180,"")))))))</f>
        <v>0</v>
      </c>
      <c r="AT6" s="23">
        <v>0</v>
      </c>
      <c r="AV6" s="23">
        <f>IF(AV5=85,130,IF(AV5=100,150,IF(AV5=300,0,IF(AV5=0,0,IF(AV5=200,300,IF(AV5=150,225,IF(AV5=125,180,"")))))))</f>
        <v>0</v>
      </c>
      <c r="AW6" s="23">
        <v>0</v>
      </c>
      <c r="AY6" s="23">
        <f>IF(AY5=85,130,IF(AY5=100,150,IF(AY5=300,0,IF(AY5=0,0,IF(AY5=200,300,IF(AY5=150,225,IF(AY5=125,180,"")))))))</f>
        <v>0</v>
      </c>
      <c r="AZ6" s="23">
        <v>0</v>
      </c>
    </row>
    <row r="7" spans="2:52" ht="15" customHeight="1" thickBot="1" x14ac:dyDescent="0.35">
      <c r="B7" s="24"/>
      <c r="C7" s="27" t="s">
        <v>4</v>
      </c>
      <c r="S7" s="28" t="s">
        <v>120</v>
      </c>
      <c r="AB7" s="25"/>
      <c r="AD7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S7" s="23">
        <f>IF(AS6=130,175,IF(AS6=150,200,IF(AS6=0,0,IF(AS6=300,0,IF(AS6=225,300,IF(AS6=180,240,""))))))</f>
        <v>0</v>
      </c>
      <c r="AT7" s="23">
        <v>0</v>
      </c>
      <c r="AV7" s="23">
        <f>IF(AV6=130,175,IF(AV6=150,200,IF(AV6=0,0,IF(AV6=300,0,IF(AV6=225,300,IF(AV6=180,240,""))))))</f>
        <v>0</v>
      </c>
      <c r="AW7" s="23">
        <v>0</v>
      </c>
      <c r="AY7" s="23">
        <f>IF(AY6=130,175,IF(AY6=150,200,IF(AY6=0,0,IF(AY6=300,0,IF(AY6=225,300,IF(AY6=180,240,""))))))</f>
        <v>0</v>
      </c>
      <c r="AZ7" s="23">
        <v>0</v>
      </c>
    </row>
    <row r="8" spans="2:52" ht="15" customHeight="1" thickTop="1" thickBot="1" x14ac:dyDescent="0.3">
      <c r="B8" s="24"/>
      <c r="D8" s="15" t="s">
        <v>19</v>
      </c>
      <c r="O8" s="105">
        <v>23.5</v>
      </c>
      <c r="P8" s="105"/>
      <c r="Q8" s="15" t="s">
        <v>20</v>
      </c>
      <c r="S8" s="110" t="s">
        <v>5</v>
      </c>
      <c r="T8" s="111"/>
      <c r="U8" s="112"/>
      <c r="V8" s="115" t="s">
        <v>21</v>
      </c>
      <c r="W8" s="111"/>
      <c r="X8" s="112"/>
      <c r="Y8" s="115" t="s">
        <v>6</v>
      </c>
      <c r="Z8" s="111"/>
      <c r="AA8" s="116"/>
      <c r="AB8" s="25"/>
      <c r="AD8"/>
      <c r="AE8"/>
      <c r="AF8"/>
      <c r="AG8"/>
      <c r="AH8"/>
      <c r="AI8"/>
      <c r="AJ8" s="120"/>
      <c r="AK8" s="120"/>
      <c r="AL8" s="120"/>
      <c r="AM8"/>
      <c r="AS8" s="23">
        <f>IF(AS7=175,215,IF(AS7=200,250,IF(AS7=0,0,IF(AS7=300,0,IF(AS7=240,300,"")))))</f>
        <v>0</v>
      </c>
      <c r="AT8" s="23">
        <v>0</v>
      </c>
      <c r="AV8" s="23">
        <f>IF(AV7=175,215,IF(AV7=200,250,IF(AV7=0,0,IF(AV7=300,0,IF(AV7=240,300,"")))))</f>
        <v>0</v>
      </c>
      <c r="AW8" s="23">
        <v>0</v>
      </c>
      <c r="AY8" s="23">
        <f>IF(AY7=175,215,IF(AY7=200,250,IF(AY7=0,0,IF(AY7=300,0,IF(AY7=240,300,"")))))</f>
        <v>0</v>
      </c>
      <c r="AZ8" s="23">
        <v>0</v>
      </c>
    </row>
    <row r="9" spans="2:52" ht="15" customHeight="1" thickTop="1" x14ac:dyDescent="0.25">
      <c r="B9" s="24"/>
      <c r="D9" s="15" t="s">
        <v>14</v>
      </c>
      <c r="O9" s="105">
        <v>27.58</v>
      </c>
      <c r="P9" s="105"/>
      <c r="Q9" s="15" t="s">
        <v>18</v>
      </c>
      <c r="S9" s="113" t="s">
        <v>7</v>
      </c>
      <c r="T9" s="114"/>
      <c r="U9" s="114"/>
      <c r="V9" s="134">
        <v>112.3</v>
      </c>
      <c r="W9" s="135"/>
      <c r="X9" s="136"/>
      <c r="Y9" s="137">
        <v>91.7</v>
      </c>
      <c r="Z9" s="137"/>
      <c r="AA9" s="138"/>
      <c r="AB9" s="25"/>
      <c r="AD9"/>
      <c r="AE9"/>
      <c r="AF9"/>
      <c r="AG9"/>
      <c r="AH9"/>
      <c r="AI9"/>
      <c r="AJ9"/>
      <c r="AK9"/>
      <c r="AL9"/>
      <c r="AM9"/>
      <c r="AS9" s="23">
        <f>IF(AS8=215,260,IF(AS8=0,0,IF(AS8=300,0,IF(AS8=250,300,""))))</f>
        <v>0</v>
      </c>
      <c r="AT9" s="23">
        <v>0</v>
      </c>
      <c r="AV9" s="23">
        <f>IF(AV8=215,260,IF(AV8=0,0,IF(AV8=300,0,IF(AV8=250,300,""))))</f>
        <v>0</v>
      </c>
      <c r="AW9" s="23">
        <v>0</v>
      </c>
      <c r="AY9" s="23">
        <f>IF(AY8=215,260,IF(AY8=0,0,IF(AY8=300,0,IF(AY8=250,300,""))))</f>
        <v>0</v>
      </c>
      <c r="AZ9" s="23">
        <v>0</v>
      </c>
    </row>
    <row r="10" spans="2:52" ht="15" customHeight="1" x14ac:dyDescent="0.25">
      <c r="B10" s="24"/>
      <c r="D10" s="15" t="s">
        <v>56</v>
      </c>
      <c r="N10" s="29" t="s">
        <v>2</v>
      </c>
      <c r="O10" s="103">
        <v>40</v>
      </c>
      <c r="P10" s="103"/>
      <c r="Q10" s="15" t="s">
        <v>12</v>
      </c>
      <c r="S10" s="148" t="s">
        <v>9</v>
      </c>
      <c r="T10" s="149"/>
      <c r="U10" s="149"/>
      <c r="V10" s="106">
        <v>188.74</v>
      </c>
      <c r="W10" s="106"/>
      <c r="X10" s="106"/>
      <c r="Y10" s="146">
        <v>0.1</v>
      </c>
      <c r="Z10" s="146"/>
      <c r="AA10" s="147"/>
      <c r="AB10" s="25"/>
      <c r="AD10" s="130" t="s">
        <v>129</v>
      </c>
      <c r="AE10" s="130"/>
      <c r="AF10" s="130"/>
      <c r="AG10" s="130"/>
      <c r="AH10" s="130"/>
      <c r="AI10" s="130"/>
      <c r="AJ10" s="130"/>
      <c r="AK10" s="130"/>
      <c r="AL10" s="130"/>
      <c r="AM10" s="130"/>
      <c r="AS10" s="23">
        <f>IF(AS9=0,0,IF(AS9=300,0,IF(AS9=260,300,"")))</f>
        <v>0</v>
      </c>
      <c r="AT10" s="23">
        <v>0</v>
      </c>
      <c r="AV10" s="23">
        <f>IF(AV9=0,0,IF(AV9=300,0,IF(AV9=260,300,"")))</f>
        <v>0</v>
      </c>
      <c r="AW10" s="23">
        <v>0</v>
      </c>
      <c r="AY10" s="23">
        <f>IF(AY9=0,0,IF(AY9=300,0,IF(AY9=260,300,"")))</f>
        <v>0</v>
      </c>
      <c r="AZ10" s="23">
        <v>0</v>
      </c>
    </row>
    <row r="11" spans="2:52" ht="15" customHeight="1" thickBot="1" x14ac:dyDescent="0.3">
      <c r="B11" s="24"/>
      <c r="O11" s="30"/>
      <c r="S11" s="150" t="s">
        <v>10</v>
      </c>
      <c r="T11" s="151"/>
      <c r="U11" s="151"/>
      <c r="V11" s="107">
        <v>249.14</v>
      </c>
      <c r="W11" s="108"/>
      <c r="X11" s="109"/>
      <c r="Y11" s="128">
        <v>114.74</v>
      </c>
      <c r="Z11" s="128"/>
      <c r="AA11" s="129"/>
      <c r="AB11" s="25"/>
      <c r="AD11" s="17" t="s">
        <v>116</v>
      </c>
      <c r="AE11" s="31" t="s">
        <v>118</v>
      </c>
      <c r="AF11" s="17" t="s">
        <v>141</v>
      </c>
      <c r="AH11"/>
      <c r="AI11"/>
      <c r="AJ11" s="120"/>
      <c r="AK11" s="120"/>
      <c r="AL11" s="120"/>
      <c r="AM11"/>
      <c r="AS11" s="23">
        <v>0</v>
      </c>
      <c r="AT11" s="23">
        <f t="shared" ref="AT11:AT18" si="0">IF($AS$12=0,0,75)</f>
        <v>0</v>
      </c>
      <c r="AV11" s="23">
        <v>0</v>
      </c>
      <c r="AW11" s="23">
        <f t="shared" ref="AW11:AW18" si="1">IF($AV$12=0,0,75)</f>
        <v>75</v>
      </c>
      <c r="AY11" s="23">
        <v>0</v>
      </c>
      <c r="AZ11" s="23">
        <f t="shared" ref="AZ11:AZ18" si="2">IF($AY$12=0,0,75)</f>
        <v>0</v>
      </c>
    </row>
    <row r="12" spans="2:52" ht="15" customHeight="1" thickTop="1" x14ac:dyDescent="0.25">
      <c r="B12" s="24"/>
      <c r="C12" s="27" t="s">
        <v>15</v>
      </c>
      <c r="O12" s="30"/>
      <c r="S12" s="27" t="s">
        <v>22</v>
      </c>
      <c r="AB12" s="25"/>
      <c r="AD12" s="17" t="s">
        <v>117</v>
      </c>
      <c r="AE12" s="31" t="s">
        <v>118</v>
      </c>
      <c r="AF12" s="17" t="s">
        <v>142</v>
      </c>
      <c r="AS12" s="23">
        <f>IF('B1'!$R$26=0,0,IF('B1'!$R$26=2,300,IF('B1'!$R$26=3,150,IF('B1'!$R$26=4,100,IF('B1'!$R$26=5,75,IF('B1'!$R$26=6,60,IF('B1'!$R$26=7,50,IF('B1'!$R$26=8,43,""))))))))</f>
        <v>0</v>
      </c>
      <c r="AT12" s="23">
        <f t="shared" si="0"/>
        <v>0</v>
      </c>
      <c r="AV12" s="23">
        <f>IF('B1'!$R$62=0,0,IF('B1'!$R$62=2,300,IF('B1'!$R$62=3,150,IF('B1'!$R$62=4,100,IF('B1'!$R$62=5,75,IF('B1'!$R$62=6,60,IF('B1'!$R$62=7,50,IF('B1'!$R$62=8,43,""))))))))</f>
        <v>150</v>
      </c>
      <c r="AW12" s="23">
        <f t="shared" si="1"/>
        <v>75</v>
      </c>
      <c r="AY12" s="23">
        <f>IF('B1'!$R$98=0,0,IF('B1'!$R$98=2,300,IF('B1'!$R$98=3,150,IF('B1'!$R$98=4,100,IF('B1'!$R$98=5,75,IF('B1'!$R$98=6,60,IF('B1'!$R$98=7,50,IF('B1'!$R$98=8,43,""))))))))</f>
        <v>0</v>
      </c>
      <c r="AZ12" s="23">
        <f t="shared" si="2"/>
        <v>0</v>
      </c>
    </row>
    <row r="13" spans="2:52" ht="15" customHeight="1" x14ac:dyDescent="0.25">
      <c r="B13" s="24"/>
      <c r="D13" s="15" t="s">
        <v>16</v>
      </c>
      <c r="O13" s="102">
        <v>420</v>
      </c>
      <c r="P13" s="102"/>
      <c r="Q13" s="15" t="s">
        <v>8</v>
      </c>
      <c r="S13" s="82" t="s">
        <v>24</v>
      </c>
      <c r="T13" s="82"/>
      <c r="U13" s="103">
        <v>250</v>
      </c>
      <c r="V13" s="103"/>
      <c r="W13" s="15" t="s">
        <v>12</v>
      </c>
      <c r="AB13" s="25"/>
      <c r="AD13" s="17" t="s">
        <v>143</v>
      </c>
      <c r="AE13" s="31" t="s">
        <v>118</v>
      </c>
      <c r="AF13" s="17" t="s">
        <v>145</v>
      </c>
      <c r="AS13" s="23">
        <f>IF(AS12=0,0,IF(AS12=300,0,IF(AS12=150,300,IF(AS12=100,200,IF(AS12=75,150,IF(AS12=60,125,IF(AS12=50,100,IF(AS12=43,85,""))))))))</f>
        <v>0</v>
      </c>
      <c r="AT13" s="23">
        <f t="shared" si="0"/>
        <v>0</v>
      </c>
      <c r="AV13" s="23">
        <f>IF(AV12=0,0,IF(AV12=300,0,IF(AV12=150,300,IF(AV12=100,200,IF(AV12=75,150,IF(AV12=60,125,IF(AV12=50,100,IF(AV12=43,85,""))))))))</f>
        <v>300</v>
      </c>
      <c r="AW13" s="23">
        <f t="shared" si="1"/>
        <v>75</v>
      </c>
      <c r="AY13" s="23">
        <f>IF(AY12=0,0,IF(AY12=300,0,IF(AY12=150,300,IF(AY12=100,200,IF(AY12=75,150,IF(AY12=60,125,IF(AY12=50,100,IF(AY12=43,85,""))))))))</f>
        <v>0</v>
      </c>
      <c r="AZ13" s="23">
        <f t="shared" si="2"/>
        <v>0</v>
      </c>
    </row>
    <row r="14" spans="2:52" ht="15" customHeight="1" x14ac:dyDescent="0.25">
      <c r="B14" s="24"/>
      <c r="D14" s="15" t="s">
        <v>17</v>
      </c>
      <c r="O14" s="102">
        <v>280</v>
      </c>
      <c r="P14" s="102"/>
      <c r="Q14" s="15" t="s">
        <v>8</v>
      </c>
      <c r="S14" s="15" t="s">
        <v>23</v>
      </c>
      <c r="U14" s="103">
        <v>400</v>
      </c>
      <c r="V14" s="103"/>
      <c r="W14" s="15" t="s">
        <v>12</v>
      </c>
      <c r="AB14" s="25"/>
      <c r="AD14" s="17" t="s">
        <v>144</v>
      </c>
      <c r="AE14" s="31" t="s">
        <v>118</v>
      </c>
      <c r="AF14" s="17" t="s">
        <v>146</v>
      </c>
      <c r="AS14" s="23">
        <f>IF(AS13=85,130,IF(AS13=100,150,IF(AS13=300,0,IF(AS13=0,0,IF(AS13=200,300,IF(AS13=150,225,IF(AS13=125,180,"")))))))</f>
        <v>0</v>
      </c>
      <c r="AT14" s="23">
        <f t="shared" si="0"/>
        <v>0</v>
      </c>
      <c r="AV14" s="23">
        <f>IF(AV13=85,130,IF(AV13=100,150,IF(AV13=300,0,IF(AV13=0,0,IF(AV13=200,300,IF(AV13=150,225,IF(AV13=125,180,"")))))))</f>
        <v>0</v>
      </c>
      <c r="AW14" s="23">
        <f t="shared" si="1"/>
        <v>75</v>
      </c>
      <c r="AY14" s="23">
        <f>IF(AY13=85,130,IF(AY13=100,150,IF(AY13=300,0,IF(AY13=0,0,IF(AY13=200,300,IF(AY13=150,225,IF(AY13=125,180,"")))))))</f>
        <v>0</v>
      </c>
      <c r="AZ14" s="23">
        <f t="shared" si="2"/>
        <v>0</v>
      </c>
    </row>
    <row r="15" spans="2:52" ht="15" customHeight="1" thickBot="1" x14ac:dyDescent="0.3">
      <c r="B15" s="32"/>
      <c r="C15" s="33"/>
      <c r="D15" s="33" t="s">
        <v>26</v>
      </c>
      <c r="E15" s="33"/>
      <c r="F15" s="33"/>
      <c r="G15" s="33"/>
      <c r="H15" s="8">
        <v>1</v>
      </c>
      <c r="I15" s="33" t="s">
        <v>27</v>
      </c>
      <c r="J15" s="8">
        <v>10</v>
      </c>
      <c r="K15" s="34" t="s">
        <v>28</v>
      </c>
      <c r="L15" s="33"/>
      <c r="M15" s="35"/>
      <c r="N15" s="33"/>
      <c r="O15" s="36"/>
      <c r="P15" s="36"/>
      <c r="Q15" s="33"/>
      <c r="R15" s="33"/>
      <c r="S15" s="33"/>
      <c r="T15" s="33"/>
      <c r="U15" s="37"/>
      <c r="V15" s="37"/>
      <c r="W15" s="33"/>
      <c r="X15" s="33"/>
      <c r="Y15" s="33"/>
      <c r="Z15" s="33"/>
      <c r="AA15" s="33"/>
      <c r="AB15" s="38"/>
      <c r="AS15" s="23">
        <f>IF(AS14=130,175,IF(AS14=150,200,IF(AS14=0,0,IF(AS14=300,0,IF(AS14=225,300,IF(AS14=180,240,""))))))</f>
        <v>0</v>
      </c>
      <c r="AT15" s="23">
        <f t="shared" si="0"/>
        <v>0</v>
      </c>
      <c r="AV15" s="23">
        <f>IF(AV14=130,175,IF(AV14=150,200,IF(AV14=0,0,IF(AV14=300,0,IF(AV14=225,300,IF(AV14=180,240,""))))))</f>
        <v>0</v>
      </c>
      <c r="AW15" s="23">
        <f t="shared" si="1"/>
        <v>75</v>
      </c>
      <c r="AY15" s="23">
        <f>IF(AY14=130,175,IF(AY14=150,200,IF(AY14=0,0,IF(AY14=300,0,IF(AY14=225,300,IF(AY14=180,240,""))))))</f>
        <v>0</v>
      </c>
      <c r="AZ15" s="23">
        <f t="shared" si="2"/>
        <v>0</v>
      </c>
    </row>
    <row r="16" spans="2:52" ht="15" customHeight="1" thickTop="1" x14ac:dyDescent="0.25"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1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2"/>
      <c r="AD16" s="43"/>
      <c r="AE16" s="43"/>
      <c r="AF16" s="43"/>
      <c r="AG16" s="43"/>
      <c r="AH16" s="44"/>
      <c r="AI16" s="45" t="s">
        <v>51</v>
      </c>
      <c r="AJ16" s="117" t="s">
        <v>9</v>
      </c>
      <c r="AK16" s="118"/>
      <c r="AL16" s="119"/>
      <c r="AM16" s="45" t="s">
        <v>52</v>
      </c>
      <c r="AS16" s="23">
        <f>IF(AS15=175,215,IF(AS15=200,250,IF(AS15=0,0,IF(AS15=300,0,IF(AS15=240,300,"")))))</f>
        <v>0</v>
      </c>
      <c r="AT16" s="23">
        <f t="shared" si="0"/>
        <v>0</v>
      </c>
      <c r="AV16" s="23">
        <f>IF(AV15=175,215,IF(AV15=200,250,IF(AV15=0,0,IF(AV15=300,0,IF(AV15=240,300,"")))))</f>
        <v>0</v>
      </c>
      <c r="AW16" s="23">
        <f t="shared" si="1"/>
        <v>75</v>
      </c>
      <c r="AY16" s="23">
        <f>IF(AY15=175,215,IF(AY15=200,250,IF(AY15=0,0,IF(AY15=300,0,IF(AY15=240,300,"")))))</f>
        <v>0</v>
      </c>
      <c r="AZ16" s="23">
        <f t="shared" si="2"/>
        <v>0</v>
      </c>
    </row>
    <row r="17" spans="2:52" ht="15" customHeight="1" x14ac:dyDescent="0.25">
      <c r="B17" s="24"/>
      <c r="C17" s="27" t="s">
        <v>53</v>
      </c>
      <c r="U17" s="15" t="s">
        <v>36</v>
      </c>
      <c r="Y17" s="125">
        <f>($U$13-2*$O$10-2*$J$15-R18*S18)/(R18-1)</f>
        <v>45</v>
      </c>
      <c r="Z17" s="125"/>
      <c r="AA17" s="125"/>
      <c r="AB17" s="25"/>
      <c r="AD17" s="46" t="s">
        <v>37</v>
      </c>
      <c r="AE17" s="46"/>
      <c r="AF17" s="46"/>
      <c r="AG17" s="46"/>
      <c r="AH17" s="47"/>
      <c r="AI17" s="48">
        <f>IF($I$33="","DRB",$I$33/$I$34)</f>
        <v>0.61988365994059758</v>
      </c>
      <c r="AJ17" s="142" t="str">
        <f>IF($I$69="","DRB",$I$69/$I$70)</f>
        <v>DRB</v>
      </c>
      <c r="AK17" s="143"/>
      <c r="AL17" s="144"/>
      <c r="AM17" s="48" t="str">
        <f>IF($I$105="","DRB",$I$105/$I$106)</f>
        <v>DRB</v>
      </c>
      <c r="AS17" s="23">
        <f>IF(AS16=215,260,IF(AS16=0,0,IF(AS16=300,0,IF(AS16=250,300,""))))</f>
        <v>0</v>
      </c>
      <c r="AT17" s="23">
        <f t="shared" si="0"/>
        <v>0</v>
      </c>
      <c r="AV17" s="23">
        <f>IF(AV16=215,260,IF(AV16=0,0,IF(AV16=300,0,IF(AV16=250,300,""))))</f>
        <v>0</v>
      </c>
      <c r="AW17" s="23">
        <f t="shared" si="1"/>
        <v>75</v>
      </c>
      <c r="AY17" s="23">
        <f>IF(AY16=215,260,IF(AY16=0,0,IF(AY16=300,0,IF(AY16=250,300,""))))</f>
        <v>0</v>
      </c>
      <c r="AZ17" s="23">
        <f t="shared" si="2"/>
        <v>0</v>
      </c>
    </row>
    <row r="18" spans="2:52" ht="15" customHeight="1" x14ac:dyDescent="0.25">
      <c r="B18" s="24"/>
      <c r="C18" s="49" t="s">
        <v>43</v>
      </c>
      <c r="I18" s="50" t="s">
        <v>0</v>
      </c>
      <c r="J18" s="29" t="s">
        <v>2</v>
      </c>
      <c r="K18" s="83">
        <v>0.9</v>
      </c>
      <c r="L18" s="83"/>
      <c r="R18" s="9">
        <v>3</v>
      </c>
      <c r="S18" s="123">
        <v>20</v>
      </c>
      <c r="T18" s="123"/>
      <c r="U18" s="17"/>
      <c r="V18" s="17"/>
      <c r="W18" s="17"/>
      <c r="X18" s="17"/>
      <c r="Y18" s="17"/>
      <c r="Z18" s="17"/>
      <c r="AA18" s="17"/>
      <c r="AB18" s="25"/>
      <c r="AI18" s="52"/>
      <c r="AJ18" s="52"/>
      <c r="AK18" s="52"/>
      <c r="AL18" s="52"/>
      <c r="AM18" s="52"/>
      <c r="AS18" s="23">
        <f>IF(AS17=0,0,IF(AS17=300,0,IF(AS17=260,300,"")))</f>
        <v>0</v>
      </c>
      <c r="AT18" s="23">
        <f t="shared" si="0"/>
        <v>0</v>
      </c>
      <c r="AV18" s="23">
        <f>IF(AV17=0,0,IF(AV17=300,0,IF(AV17=260,300,"")))</f>
        <v>0</v>
      </c>
      <c r="AW18" s="23">
        <f t="shared" si="1"/>
        <v>75</v>
      </c>
      <c r="AY18" s="23">
        <f>IF(AY17=0,0,IF(AY17=300,0,IF(AY17=260,300,"")))</f>
        <v>0</v>
      </c>
      <c r="AZ18" s="23">
        <f t="shared" si="2"/>
        <v>0</v>
      </c>
    </row>
    <row r="19" spans="2:52" ht="15" customHeight="1" x14ac:dyDescent="0.25">
      <c r="B19" s="24"/>
      <c r="C19" s="15" t="s">
        <v>1</v>
      </c>
      <c r="G19" s="82">
        <v>0.75</v>
      </c>
      <c r="H19" s="82"/>
      <c r="M19" s="53"/>
      <c r="N19" s="29" t="s">
        <v>2</v>
      </c>
      <c r="O19" s="82">
        <f>IF($O$9&lt;=28,0.85,0.85-(0.05/7)*($O$9-28))</f>
        <v>0.85</v>
      </c>
      <c r="P19" s="82"/>
      <c r="R19" s="9">
        <v>2</v>
      </c>
      <c r="S19" s="123">
        <v>20</v>
      </c>
      <c r="T19" s="123"/>
      <c r="U19" s="17"/>
      <c r="V19" s="17"/>
      <c r="W19" s="17"/>
      <c r="X19" s="17"/>
      <c r="Y19" s="17"/>
      <c r="Z19" s="17"/>
      <c r="AA19" s="17"/>
      <c r="AB19" s="25"/>
      <c r="AI19" s="54"/>
      <c r="AJ19" s="52"/>
      <c r="AK19" s="52"/>
      <c r="AL19" s="52"/>
      <c r="AM19" s="52"/>
      <c r="AS19" s="23">
        <v>0</v>
      </c>
      <c r="AT19" s="23">
        <v>600</v>
      </c>
      <c r="AV19" s="23">
        <v>0</v>
      </c>
      <c r="AW19" s="23">
        <v>600</v>
      </c>
      <c r="AY19" s="23">
        <v>0</v>
      </c>
      <c r="AZ19" s="23">
        <v>600</v>
      </c>
    </row>
    <row r="20" spans="2:52" ht="15" customHeight="1" x14ac:dyDescent="0.25">
      <c r="B20" s="24"/>
      <c r="N20" s="18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25"/>
      <c r="AD20" s="55" t="s">
        <v>38</v>
      </c>
      <c r="AE20" s="56"/>
      <c r="AF20" s="56"/>
      <c r="AG20" s="56"/>
      <c r="AH20" s="57"/>
      <c r="AI20" s="45" t="s">
        <v>51</v>
      </c>
      <c r="AJ20" s="117" t="s">
        <v>9</v>
      </c>
      <c r="AK20" s="118"/>
      <c r="AL20" s="119"/>
      <c r="AM20" s="45" t="s">
        <v>52</v>
      </c>
      <c r="AS20" s="23">
        <f>IF('B1'!$R$18=2,300,IF('B1'!$R$18=3,150,IF('B1'!$R$18=4,100,IF('B1'!$R$18=5,75,IF('B1'!$R$18=6,60,IF('B1'!$R$18=7,50,IF('B1'!$R$18=8,43,"")))))))</f>
        <v>150</v>
      </c>
      <c r="AT20" s="23">
        <v>600</v>
      </c>
      <c r="AV20" s="23">
        <f>IF('B1'!$R$54=2,300,IF('B1'!$R$54=3,150,IF('B1'!$R$54=4,100,IF('B1'!$R$54=5,75,IF('B1'!$R$54=6,60,IF('B1'!$R$54=7,50,IF('B1'!$R$54=8,43,"")))))))</f>
        <v>150</v>
      </c>
      <c r="AW20" s="23">
        <v>600</v>
      </c>
      <c r="AY20" s="23">
        <f>IF('B1'!$R$90=2,300,IF('B1'!$R$90=3,150,IF('B1'!$R$90=4,100,IF('B1'!$R$90=5,75,IF('B1'!$R$90=6,60,IF('B1'!$R$90=7,50,IF('B1'!$R$90=8,43,"")))))))</f>
        <v>150</v>
      </c>
      <c r="AZ20" s="23">
        <v>600</v>
      </c>
    </row>
    <row r="21" spans="2:52" ht="15" customHeight="1" x14ac:dyDescent="0.25">
      <c r="B21" s="24"/>
      <c r="L21" s="29"/>
      <c r="N21" s="18" t="s">
        <v>2</v>
      </c>
      <c r="O21" s="81">
        <f>0.75*((0.85*($O$9)*(O19)*(600))/($O$13*(600+$O$13)))</f>
        <v>2.0931249999999998E-2</v>
      </c>
      <c r="P21" s="81"/>
      <c r="Q21" s="81"/>
      <c r="R21" s="17"/>
      <c r="S21" s="17"/>
      <c r="T21" s="17"/>
      <c r="U21" s="17"/>
      <c r="V21" s="17"/>
      <c r="W21" s="17"/>
      <c r="X21" s="17"/>
      <c r="Y21" s="17"/>
      <c r="Z21" s="141">
        <f>$U$14</f>
        <v>400</v>
      </c>
      <c r="AA21" s="17"/>
      <c r="AB21" s="25"/>
      <c r="AH21" s="58" t="s">
        <v>39</v>
      </c>
      <c r="AI21" s="48" t="str">
        <f>IF($K$46="n/a","SRB",$K$46/$K$47)</f>
        <v>SRB</v>
      </c>
      <c r="AJ21" s="142">
        <f>IF($K$82="n/a","SRB",$K$82/$K$83)</f>
        <v>4.0335211023992699E-2</v>
      </c>
      <c r="AK21" s="143"/>
      <c r="AL21" s="144"/>
      <c r="AM21" s="48">
        <f>IF($K$118="n/a","SRB",$K$118/$K$119)</f>
        <v>0.74099103357643781</v>
      </c>
      <c r="AS21" s="23">
        <f>IF(AS20=300,0,IF(AS20=150,300,IF(AS20=100,200,IF(AS20=75,150,IF(AS20=60,125,IF(AS20=50,100,IF(AS20=43,85,"")))))))</f>
        <v>300</v>
      </c>
      <c r="AT21" s="23">
        <v>600</v>
      </c>
      <c r="AV21" s="23">
        <f>IF(AV20=300,0,IF(AV20=150,300,IF(AV20=100,200,IF(AV20=75,150,IF(AV20=60,125,IF(AV20=50,100,IF(AV20=43,85,"")))))))</f>
        <v>300</v>
      </c>
      <c r="AW21" s="23">
        <v>600</v>
      </c>
      <c r="AY21" s="23">
        <f>IF(AY20=300,0,IF(AY20=150,300,IF(AY20=100,200,IF(AY20=75,150,IF(AY20=60,125,IF(AY20=50,100,IF(AY20=43,85,"")))))))</f>
        <v>300</v>
      </c>
      <c r="AZ21" s="23">
        <v>600</v>
      </c>
    </row>
    <row r="22" spans="2:52" ht="15" customHeight="1" x14ac:dyDescent="0.25">
      <c r="B22" s="24"/>
      <c r="N22" s="18"/>
      <c r="R22" s="17"/>
      <c r="S22" s="17"/>
      <c r="T22" s="17"/>
      <c r="U22" s="17"/>
      <c r="V22" s="17"/>
      <c r="W22" s="17"/>
      <c r="X22" s="17"/>
      <c r="Y22" s="17"/>
      <c r="Z22" s="141"/>
      <c r="AA22" s="17"/>
      <c r="AB22" s="25"/>
      <c r="AH22" s="47" t="s">
        <v>40</v>
      </c>
      <c r="AI22" s="48" t="str">
        <f>IF($O$48="n/a","SRB",$O$48/$K$49)</f>
        <v>SRB</v>
      </c>
      <c r="AJ22" s="142">
        <f>IF($O$84="n/a","SRB",$O$84/$K$85)</f>
        <v>0.9640371040689949</v>
      </c>
      <c r="AK22" s="143"/>
      <c r="AL22" s="144"/>
      <c r="AM22" s="48">
        <f>IF($O$120="n/a","SRB",$O$120/$K$121)</f>
        <v>1.3143650153452173</v>
      </c>
      <c r="AS22" s="23">
        <f>IF(AS21=85,130,IF(AS21=100,150,IF(AS21=300,0,IF(AS21=0,0,IF(AS21=200,300,IF(AS21=150,225,IF(AS21=125,180,"")))))))</f>
        <v>0</v>
      </c>
      <c r="AT22" s="23">
        <v>600</v>
      </c>
      <c r="AV22" s="23">
        <f>IF(AV21=85,130,IF(AV21=100,150,IF(AV21=300,0,IF(AV21=0,0,IF(AV21=200,300,IF(AV21=150,225,IF(AV21=125,180,"")))))))</f>
        <v>0</v>
      </c>
      <c r="AW22" s="23">
        <v>600</v>
      </c>
      <c r="AY22" s="23">
        <f>IF(AY21=85,130,IF(AY21=100,150,IF(AY21=300,0,IF(AY21=0,0,IF(AY21=200,300,IF(AY21=150,225,IF(AY21=125,180,"")))))))</f>
        <v>0</v>
      </c>
      <c r="AZ22" s="23">
        <v>600</v>
      </c>
    </row>
    <row r="23" spans="2:52" ht="15" customHeight="1" x14ac:dyDescent="0.25">
      <c r="B23" s="24"/>
      <c r="G23" s="29"/>
      <c r="I23" s="18" t="s">
        <v>2</v>
      </c>
      <c r="J23" s="81">
        <f>$O$21*($O$13/$O$9)</f>
        <v>0.31874999999999998</v>
      </c>
      <c r="K23" s="81"/>
      <c r="L23" s="81"/>
      <c r="M23" s="81"/>
      <c r="N23" s="51" t="s">
        <v>34</v>
      </c>
      <c r="O23" s="91">
        <f>$O$10+$J$15+IF(R26&gt;0,S27,S27/2)</f>
        <v>60</v>
      </c>
      <c r="P23" s="91"/>
      <c r="Q23" s="91"/>
      <c r="R23" s="91"/>
      <c r="S23" s="17"/>
      <c r="T23" s="17"/>
      <c r="U23" s="17"/>
      <c r="V23" s="17"/>
      <c r="W23" s="17"/>
      <c r="X23" s="17"/>
      <c r="Y23" s="17"/>
      <c r="Z23" s="141"/>
      <c r="AA23" s="17"/>
      <c r="AB23" s="25"/>
      <c r="AI23" s="52"/>
      <c r="AJ23" s="52"/>
      <c r="AK23" s="52"/>
      <c r="AL23" s="52"/>
      <c r="AM23" s="52"/>
      <c r="AS23" s="23">
        <f>IF(AS22=130,175,IF(AS22=150,200,IF(AS22=0,0,IF(AS22=300,0,IF(AS22=225,300,IF(AS22=180,240,""))))))</f>
        <v>0</v>
      </c>
      <c r="AT23" s="23">
        <v>600</v>
      </c>
      <c r="AV23" s="23">
        <f>IF(AV22=130,175,IF(AV22=150,200,IF(AV22=0,0,IF(AV22=300,0,IF(AV22=225,300,IF(AV22=180,240,""))))))</f>
        <v>0</v>
      </c>
      <c r="AW23" s="23">
        <v>600</v>
      </c>
      <c r="AY23" s="23">
        <f>IF(AY22=130,175,IF(AY22=150,200,IF(AY22=0,0,IF(AY22=300,0,IF(AY22=225,300,IF(AY22=180,240,""))))))</f>
        <v>0</v>
      </c>
      <c r="AZ23" s="23">
        <v>600</v>
      </c>
    </row>
    <row r="24" spans="2:52" ht="15" customHeight="1" x14ac:dyDescent="0.25">
      <c r="B24" s="24"/>
      <c r="N24" s="18" t="s">
        <v>35</v>
      </c>
      <c r="O24" s="90">
        <f>$U$14-$O$10-$J$15-S18/2</f>
        <v>340</v>
      </c>
      <c r="P24" s="90"/>
      <c r="Q24" s="90"/>
      <c r="R24" s="90"/>
      <c r="S24" s="17"/>
      <c r="T24" s="17"/>
      <c r="U24" s="17"/>
      <c r="V24" s="17"/>
      <c r="W24" s="17"/>
      <c r="X24" s="17"/>
      <c r="Y24" s="17"/>
      <c r="Z24" s="141"/>
      <c r="AA24" s="17"/>
      <c r="AB24" s="25"/>
      <c r="AD24" s="17" t="s">
        <v>41</v>
      </c>
      <c r="AH24" s="59"/>
      <c r="AI24" s="48">
        <f>($R$27*(3.1416/4)*$S$27+$R$26*(3.1416/4)*$S$26)/($R$18*(3.1416/4)*$S$18+$R$19*(3.1416/4)*$S$19)</f>
        <v>0.6</v>
      </c>
      <c r="AJ24" s="142">
        <f>($R$54*(3.1416/4)*$S$54+$R$55*(3.1416/4)*$S$55)/($R$63*(3.1416/4)*$S$63+$R$62*(3.1416/4)*$S$62)</f>
        <v>0.5</v>
      </c>
      <c r="AK24" s="143"/>
      <c r="AL24" s="144"/>
      <c r="AM24" s="48">
        <f>($R$99*(3.1416/4)*$S$99+$R$98*(3.1416/4)*$S$98)/($R$90*(3.1416/4)*$S$90+$R$91*(3.1416/4)*$S$91)</f>
        <v>0.5</v>
      </c>
      <c r="AS24" s="23">
        <f>IF(AS23=175,215,IF(AS23=200,250,IF(AS23=0,0,IF(AS23=300,0,IF(AS23=240,300,"")))))</f>
        <v>0</v>
      </c>
      <c r="AT24" s="23">
        <v>600</v>
      </c>
      <c r="AV24" s="23">
        <f>IF(AV23=175,215,IF(AV23=200,250,IF(AV23=0,0,IF(AV23=300,0,IF(AV23=240,300,"")))))</f>
        <v>0</v>
      </c>
      <c r="AW24" s="23">
        <v>600</v>
      </c>
      <c r="AY24" s="23">
        <f>IF(AY23=175,215,IF(AY23=200,250,IF(AY23=0,0,IF(AY23=300,0,IF(AY23=240,300,"")))))</f>
        <v>0</v>
      </c>
      <c r="AZ24" s="23">
        <v>600</v>
      </c>
    </row>
    <row r="25" spans="2:52" ht="15" customHeight="1" x14ac:dyDescent="0.25">
      <c r="B25" s="24"/>
      <c r="L25" s="29"/>
      <c r="M25" s="18" t="s">
        <v>2</v>
      </c>
      <c r="N25" s="104">
        <f>ROUNDUP((0.9*$O$9*J23*$U$13*O24^2*(1-0.59*J23))/1000^2,2)</f>
        <v>185.66</v>
      </c>
      <c r="O25" s="104"/>
      <c r="P25" s="104"/>
      <c r="Q25" s="104"/>
      <c r="R25" s="104"/>
      <c r="S25" s="104"/>
      <c r="T25" s="17"/>
      <c r="U25" s="17"/>
      <c r="V25" s="17"/>
      <c r="W25" s="17"/>
      <c r="X25" s="17"/>
      <c r="Y25" s="17"/>
      <c r="Z25" s="141"/>
      <c r="AA25" s="17"/>
      <c r="AB25" s="25"/>
      <c r="AE25" s="122"/>
      <c r="AF25" s="122"/>
      <c r="AS25" s="23">
        <f>IF(AS24=215,260,IF(AS24=0,0,IF(AS24=300,0,IF(AS24=250,300,""))))</f>
        <v>0</v>
      </c>
      <c r="AT25" s="23">
        <v>600</v>
      </c>
      <c r="AV25" s="23">
        <f>IF(AV24=215,260,IF(AV24=0,0,IF(AV24=300,0,IF(AV24=250,300,""))))</f>
        <v>0</v>
      </c>
      <c r="AW25" s="23">
        <v>600</v>
      </c>
      <c r="AY25" s="23">
        <f>IF(AY24=215,260,IF(AY24=0,0,IF(AY24=300,0,IF(AY24=250,300,""))))</f>
        <v>0</v>
      </c>
      <c r="AZ25" s="23">
        <v>600</v>
      </c>
    </row>
    <row r="26" spans="2:52" ht="15" customHeight="1" x14ac:dyDescent="0.25">
      <c r="B26" s="24"/>
      <c r="R26" s="9">
        <v>0</v>
      </c>
      <c r="S26" s="123">
        <v>20</v>
      </c>
      <c r="T26" s="123"/>
      <c r="U26" s="17"/>
      <c r="V26" s="17"/>
      <c r="W26" s="17"/>
      <c r="X26" s="17"/>
      <c r="Y26" s="17"/>
      <c r="Z26" s="17"/>
      <c r="AA26" s="17"/>
      <c r="AB26" s="25"/>
      <c r="AG26" s="122"/>
      <c r="AH26" s="122"/>
      <c r="AS26" s="23">
        <f>IF(AS25=0,0,IF(AS25=300,0,IF(AS25=260,300,"")))</f>
        <v>0</v>
      </c>
      <c r="AT26" s="23">
        <v>600</v>
      </c>
      <c r="AV26" s="23">
        <f>IF(AV25=0,0,IF(AV25=300,0,IF(AV25=260,300,"")))</f>
        <v>0</v>
      </c>
      <c r="AW26" s="23">
        <v>600</v>
      </c>
      <c r="AY26" s="23">
        <f>IF(AY25=0,0,IF(AY25=300,0,IF(AY25=260,300,"")))</f>
        <v>0</v>
      </c>
      <c r="AZ26" s="23">
        <v>600</v>
      </c>
    </row>
    <row r="27" spans="2:52" ht="15" customHeight="1" x14ac:dyDescent="0.25">
      <c r="B27" s="24"/>
      <c r="D27" s="15" t="str">
        <f>IF(N25&gt;$V$9,"𝑀𝑢𝑚𝑎𝑥 &gt; 𝑀𝑢  (Compression steel not Required)","𝑀𝑢𝑚𝑎𝑥 &lt; 𝑀𝑢  (Compression steel Required)")</f>
        <v>𝑀𝑢𝑚𝑎𝑥 &gt; 𝑀𝑢  (Compression steel not Required)</v>
      </c>
      <c r="R27" s="9">
        <v>3</v>
      </c>
      <c r="S27" s="123">
        <v>20</v>
      </c>
      <c r="T27" s="123"/>
      <c r="U27" s="17"/>
      <c r="V27" s="17"/>
      <c r="W27" s="17"/>
      <c r="X27" s="17"/>
      <c r="Y27" s="17"/>
      <c r="Z27" s="17"/>
      <c r="AA27" s="17"/>
      <c r="AB27" s="25"/>
      <c r="AE27" s="122"/>
      <c r="AF27" s="122"/>
      <c r="AS27" s="23">
        <v>0</v>
      </c>
      <c r="AT27" s="23">
        <f t="shared" ref="AT27:AT34" si="3">IF($AS$28=0,0,525)</f>
        <v>525</v>
      </c>
      <c r="AV27" s="23">
        <v>0</v>
      </c>
      <c r="AW27" s="23">
        <f t="shared" ref="AW27:AW34" si="4">IF($AV$28=0,0,525)</f>
        <v>0</v>
      </c>
      <c r="AY27" s="23">
        <v>0</v>
      </c>
      <c r="AZ27" s="23">
        <f t="shared" ref="AZ27:AZ34" si="5">IF($AY$28=0,0,525)</f>
        <v>525</v>
      </c>
    </row>
    <row r="28" spans="2:52" ht="15" customHeight="1" x14ac:dyDescent="0.25">
      <c r="B28" s="24"/>
      <c r="I28" s="15" t="str">
        <f>IF(N25&lt;$V$9,"…proceed to step III","…proceed to step II")</f>
        <v>…proceed to step II</v>
      </c>
      <c r="Q28" s="17"/>
      <c r="S28" s="17"/>
      <c r="T28" s="17"/>
      <c r="U28" s="17"/>
      <c r="V28" s="17"/>
      <c r="W28" s="17"/>
      <c r="X28" s="17"/>
      <c r="Y28" s="17"/>
      <c r="Z28" s="17"/>
      <c r="AA28" s="17"/>
      <c r="AB28" s="25"/>
      <c r="AE28" s="122"/>
      <c r="AF28" s="122"/>
      <c r="AS28" s="23">
        <f>IF('B1'!$R$19=0,0,IF('B1'!$R$19=0,0,IF('B1'!$R$19=2,300,IF('B1'!$R$19=3,150,IF('B1'!$R$19=4,100,IF('B1'!$R$19=5,75,IF('B1'!$R$19=6,60,IF('B1'!$R$19=7,50,IF('B1'!$R$19=8,43,"")))))))))</f>
        <v>300</v>
      </c>
      <c r="AT28" s="23">
        <f t="shared" si="3"/>
        <v>525</v>
      </c>
      <c r="AV28" s="23">
        <f>IF('B1'!$R$55=0,0,IF('B1'!$R$55=0,0,IF('B1'!$R$55=2,300,IF('B1'!$R$55=3,150,IF('B1'!$R$55=4,100,IF('B1'!$R$55=5,75,IF('B1'!$R$55=6,60,IF('B1'!$R$55=7,50,IF('B1'!$R$55=8,43,"")))))))))</f>
        <v>0</v>
      </c>
      <c r="AW28" s="23">
        <f t="shared" si="4"/>
        <v>0</v>
      </c>
      <c r="AY28" s="23">
        <f>IF('B1'!$R$91=0,0,IF('B1'!$R$91=0,0,IF('B1'!$R$91=2,300,IF('B1'!$R$91=3,150,IF('B1'!$R$91=4,100,IF('B1'!$R$91=5,75,IF('B1'!$R$91=6,60,IF('B1'!$R$91=7,50,IF('B1'!$R$91=8,43,"")))))))))</f>
        <v>150</v>
      </c>
      <c r="AZ28" s="23">
        <f t="shared" si="5"/>
        <v>525</v>
      </c>
    </row>
    <row r="29" spans="2:52" ht="15" customHeight="1" x14ac:dyDescent="0.25">
      <c r="B29" s="24"/>
      <c r="C29" s="15" t="s">
        <v>30</v>
      </c>
      <c r="H29" s="29" t="str">
        <f>IF($N$25&lt;$V$9,"","=")</f>
        <v>=</v>
      </c>
      <c r="I29" s="84">
        <f>IF(N25&lt;$V$9,"",IF(N25&lt;$V$9,"n/a",$V$9*1000^2/(0.9*$U$13*O24^2)))</f>
        <v>4.3175701653210306</v>
      </c>
      <c r="J29" s="84"/>
      <c r="K29" s="84"/>
      <c r="L29" s="84"/>
      <c r="M29" s="84"/>
      <c r="V29" s="122">
        <f>$U$13</f>
        <v>250</v>
      </c>
      <c r="W29" s="122"/>
      <c r="X29" s="122"/>
      <c r="AB29" s="25"/>
      <c r="AD29" s="60" t="str">
        <f>IF(Y17&lt;25,"-increase beam width!!!","")</f>
        <v/>
      </c>
      <c r="AS29" s="23">
        <f>IF(AS28=0,0,IF(AS28=300,0,IF(AS28=150,300,IF(AS28=100,200,IF(AS28=75,150,IF(AS28=60,125,IF(AS28=50,100,IF(AS28=43,85,""))))))))</f>
        <v>0</v>
      </c>
      <c r="AT29" s="23">
        <f t="shared" si="3"/>
        <v>525</v>
      </c>
      <c r="AV29" s="23">
        <f>IF(AV28=0,0,IF(AV28=300,0,IF(AV28=150,300,IF(AV28=100,200,IF(AV28=75,150,IF(AV28=60,125,IF(AV28=50,100,IF(AV28=43,85,""))))))))</f>
        <v>0</v>
      </c>
      <c r="AW29" s="23">
        <f t="shared" si="4"/>
        <v>0</v>
      </c>
      <c r="AY29" s="23">
        <f>IF(AY28=0,0,IF(AY28=300,0,IF(AY28=150,300,IF(AY28=100,200,IF(AY28=75,150,IF(AY28=60,125,IF(AY28=50,100,IF(AY28=43,85,""))))))))</f>
        <v>300</v>
      </c>
      <c r="AZ29" s="23">
        <f t="shared" si="5"/>
        <v>525</v>
      </c>
    </row>
    <row r="30" spans="2:52" ht="15" customHeight="1" x14ac:dyDescent="0.25">
      <c r="B30" s="24"/>
      <c r="V30" s="15" t="s">
        <v>36</v>
      </c>
      <c r="Z30" s="125">
        <f>($U$13-2*$O$10-2*$J$15-R27*S27)/(R27-1)</f>
        <v>45</v>
      </c>
      <c r="AA30" s="125"/>
      <c r="AB30" s="126"/>
      <c r="AD30" s="60" t="str">
        <f>IF(Z30&lt;25,"-increase beam width!!!","")</f>
        <v/>
      </c>
      <c r="AS30" s="23">
        <f>IF(AS29=85,130,IF(AS29=100,150,IF(AS29=300,0,IF(AS29=0,0,IF(AS29=200,300,IF(AS29=150,225,IF(AS29=125,180,"")))))))</f>
        <v>0</v>
      </c>
      <c r="AT30" s="23">
        <f t="shared" si="3"/>
        <v>525</v>
      </c>
      <c r="AV30" s="23">
        <f>IF(AV29=85,130,IF(AV29=100,150,IF(AV29=300,0,IF(AV29=0,0,IF(AV29=200,300,IF(AV29=150,225,IF(AV29=125,180,"")))))))</f>
        <v>0</v>
      </c>
      <c r="AW30" s="23">
        <f t="shared" si="4"/>
        <v>0</v>
      </c>
      <c r="AY30" s="23">
        <f>IF(AY29=85,130,IF(AY29=100,150,IF(AY29=300,0,IF(AY29=0,0,IF(AY29=200,300,IF(AY29=150,225,IF(AY29=125,180,"")))))))</f>
        <v>0</v>
      </c>
      <c r="AZ30" s="23">
        <f t="shared" si="5"/>
        <v>525</v>
      </c>
    </row>
    <row r="31" spans="2:52" ht="15" customHeight="1" x14ac:dyDescent="0.25">
      <c r="B31" s="24"/>
      <c r="N31" s="61" t="str">
        <f>IF(I29="","","=")</f>
        <v>=</v>
      </c>
      <c r="O31" s="81">
        <f>IF(I29="","",(0.85*($O$9)/$O$13)*(1-SQRT(1-(2*I29)/(0.85*$O$9))))</f>
        <v>1.1455450035702242E-2</v>
      </c>
      <c r="P31" s="81"/>
      <c r="Q31" s="81"/>
      <c r="R31" s="15" t="str">
        <f>IF(I29="","",IF(O31&gt;V31,"&gt;","&lt;"))</f>
        <v>&gt;</v>
      </c>
      <c r="U31" s="61" t="s">
        <v>2</v>
      </c>
      <c r="V31" s="81">
        <f>1.4/$O$13</f>
        <v>3.3333333333333331E-3</v>
      </c>
      <c r="W31" s="81"/>
      <c r="X31" s="81"/>
      <c r="AB31" s="25"/>
      <c r="AD31" s="62" t="str">
        <f>IF(I29="","",IF(R31="&gt;","","...exceeds ρmin!!!"))</f>
        <v/>
      </c>
      <c r="AS31" s="23">
        <f>IF(AS30=130,175,IF(AS30=150,200,IF(AS30=0,0,IF(AS30=300,0,IF(AS30=225,300,IF(AS30=180,240,""))))))</f>
        <v>0</v>
      </c>
      <c r="AT31" s="23">
        <f t="shared" si="3"/>
        <v>525</v>
      </c>
      <c r="AV31" s="23">
        <f>IF(AV30=130,175,IF(AV30=150,200,IF(AV30=0,0,IF(AV30=300,0,IF(AV30=225,300,IF(AV30=180,240,""))))))</f>
        <v>0</v>
      </c>
      <c r="AW31" s="23">
        <f t="shared" si="4"/>
        <v>0</v>
      </c>
      <c r="AY31" s="23">
        <f>IF(AY30=130,175,IF(AY30=150,200,IF(AY30=0,0,IF(AY30=300,0,IF(AY30=225,300,IF(AY30=180,240,""))))))</f>
        <v>0</v>
      </c>
      <c r="AZ31" s="23">
        <f t="shared" si="5"/>
        <v>525</v>
      </c>
    </row>
    <row r="32" spans="2:52" ht="15" customHeight="1" x14ac:dyDescent="0.25">
      <c r="B32" s="24"/>
      <c r="AB32" s="25"/>
      <c r="AS32" s="23">
        <f>IF(AS31=175,215,IF(AS31=200,250,IF(AS31=0,0,IF(AS31=300,0,IF(AS31=240,300,"")))))</f>
        <v>0</v>
      </c>
      <c r="AT32" s="23">
        <f t="shared" si="3"/>
        <v>525</v>
      </c>
      <c r="AV32" s="23">
        <f>IF(AV31=175,215,IF(AV31=200,250,IF(AV31=0,0,IF(AV31=300,0,IF(AV31=240,300,"")))))</f>
        <v>0</v>
      </c>
      <c r="AW32" s="23">
        <f t="shared" si="4"/>
        <v>0</v>
      </c>
      <c r="AY32" s="23">
        <f>IF(AY31=175,215,IF(AY31=200,250,IF(AY31=0,0,IF(AY31=300,0,IF(AY31=240,300,"")))))</f>
        <v>0</v>
      </c>
      <c r="AZ32" s="23">
        <f t="shared" si="5"/>
        <v>525</v>
      </c>
    </row>
    <row r="33" spans="2:52" ht="15" customHeight="1" x14ac:dyDescent="0.25">
      <c r="B33" s="24"/>
      <c r="D33" s="15" t="str">
        <f>IF(N25&lt;$V$9,"","𝐴𝑠 required  =")</f>
        <v>𝐴𝑠 required  =</v>
      </c>
      <c r="G33" s="63"/>
      <c r="I33" s="88">
        <f>IF(O31="","",IF(O31&gt;V31,O31*$U$13*O24,V31*$U$13*O24))</f>
        <v>973.71325303469052</v>
      </c>
      <c r="J33" s="88"/>
      <c r="K33" s="88"/>
      <c r="L33" s="88"/>
      <c r="M33" s="88"/>
      <c r="N33" s="88"/>
      <c r="R33" s="49" t="s">
        <v>44</v>
      </c>
      <c r="V33" s="50" t="s">
        <v>0</v>
      </c>
      <c r="W33" s="29" t="s">
        <v>2</v>
      </c>
      <c r="X33" s="83">
        <v>0.85</v>
      </c>
      <c r="Y33" s="83"/>
      <c r="AB33" s="25"/>
      <c r="AS33" s="23">
        <f>IF(AS32=215,260,IF(AS32=0,0,IF(AS32=300,0,IF(AS32=250,300,""))))</f>
        <v>0</v>
      </c>
      <c r="AT33" s="23">
        <f t="shared" si="3"/>
        <v>525</v>
      </c>
      <c r="AV33" s="23">
        <f>IF(AV32=215,260,IF(AV32=0,0,IF(AV32=300,0,IF(AV32=250,300,""))))</f>
        <v>0</v>
      </c>
      <c r="AW33" s="23">
        <f t="shared" si="4"/>
        <v>0</v>
      </c>
      <c r="AY33" s="23">
        <f>IF(AY32=215,260,IF(AY32=0,0,IF(AY32=300,0,IF(AY32=250,300,""))))</f>
        <v>0</v>
      </c>
      <c r="AZ33" s="23">
        <f t="shared" si="5"/>
        <v>525</v>
      </c>
    </row>
    <row r="34" spans="2:52" ht="15" customHeight="1" x14ac:dyDescent="0.25">
      <c r="B34" s="24"/>
      <c r="D34" s="15" t="str">
        <f>IF($N$25&lt;$V$9,"","𝐴𝑠 provided  =")</f>
        <v>𝐴𝑠 provided  =</v>
      </c>
      <c r="I34" s="88">
        <f>IF(N25&lt;$V$9,"",(R18*(3.1416/4)*(S18)^2)+(R19*(3.1416/4)*(S19)^2))</f>
        <v>1570.7999999999997</v>
      </c>
      <c r="J34" s="88"/>
      <c r="K34" s="88"/>
      <c r="L34" s="88"/>
      <c r="M34" s="88"/>
      <c r="N34" s="92" t="str">
        <f>IF(N25&lt;$V$9,"",IF(I34&gt;I33,"OK","NG"))</f>
        <v>OK</v>
      </c>
      <c r="O34" s="92"/>
      <c r="AB34" s="25"/>
      <c r="AD34" s="65" t="s">
        <v>49</v>
      </c>
      <c r="AS34" s="23">
        <f>IF(AS33=0,0,IF(AS33=300,0,IF(AS33=260,300,"")))</f>
        <v>0</v>
      </c>
      <c r="AT34" s="23">
        <f t="shared" si="3"/>
        <v>525</v>
      </c>
      <c r="AV34" s="23">
        <f>IF(AV33=0,0,IF(AV33=300,0,IF(AV33=260,300,"")))</f>
        <v>0</v>
      </c>
      <c r="AW34" s="23">
        <f t="shared" si="4"/>
        <v>0</v>
      </c>
      <c r="AY34" s="23">
        <f>IF(AY33=0,0,IF(AY33=300,0,IF(AY33=260,300,"")))</f>
        <v>0</v>
      </c>
      <c r="AZ34" s="23">
        <f t="shared" si="5"/>
        <v>525</v>
      </c>
    </row>
    <row r="35" spans="2:52" ht="15" customHeight="1" x14ac:dyDescent="3.5">
      <c r="B35" s="24"/>
      <c r="E35" s="66" t="s">
        <v>29</v>
      </c>
      <c r="W35" s="29" t="s">
        <v>2</v>
      </c>
      <c r="X35" s="124">
        <f>(X33*(1/6)*(SQRT($O$9))*$U$13*O24)/1000</f>
        <v>63.23881625982925</v>
      </c>
      <c r="Y35" s="124"/>
      <c r="Z35" s="124"/>
      <c r="AB35" s="25"/>
      <c r="AD35" s="46" t="s">
        <v>45</v>
      </c>
      <c r="AE35" s="67" t="s">
        <v>2</v>
      </c>
      <c r="AF35" s="47">
        <f>IF(X39&lt;=((1/3)*SQRT($O$9)*$U$13*O24)/1000,O24/2)</f>
        <v>170</v>
      </c>
      <c r="AG35" s="68" t="s">
        <v>47</v>
      </c>
      <c r="AH35" s="47">
        <v>300</v>
      </c>
    </row>
    <row r="36" spans="2:52" ht="15" customHeight="1" thickBot="1" x14ac:dyDescent="0.3">
      <c r="B36" s="24"/>
      <c r="C36" s="15" t="s">
        <v>31</v>
      </c>
      <c r="I36" s="29" t="s">
        <v>2</v>
      </c>
      <c r="J36" s="88" t="str">
        <f>IF(N25&gt;$V$9,"n/a",O21*$U$13*O24)</f>
        <v>n/a</v>
      </c>
      <c r="K36" s="88"/>
      <c r="L36" s="88"/>
      <c r="M36" s="88"/>
      <c r="N36" s="88"/>
      <c r="AB36" s="25"/>
      <c r="AD36" s="46" t="s">
        <v>46</v>
      </c>
      <c r="AE36" s="67" t="s">
        <v>2</v>
      </c>
      <c r="AF36" s="47" t="b">
        <f>IF(X39="N/C","",IF(X39&gt;((1/3)*SQRT($O$9)*$U$13*O24)/1000,O24/4))</f>
        <v>0</v>
      </c>
      <c r="AG36" s="68" t="s">
        <v>47</v>
      </c>
      <c r="AH36" s="47">
        <v>200</v>
      </c>
    </row>
    <row r="37" spans="2:52" ht="15" customHeight="1" x14ac:dyDescent="0.25">
      <c r="B37" s="24"/>
      <c r="K37" s="18" t="s">
        <v>32</v>
      </c>
      <c r="L37" s="29" t="s">
        <v>2</v>
      </c>
      <c r="M37" s="90" t="str">
        <f>IF(J36="n/a","n/a",(J36*$O$13)/(0.85*$O$9*$U$13))</f>
        <v>n/a</v>
      </c>
      <c r="N37" s="90"/>
      <c r="O37" s="90"/>
      <c r="P37" s="90"/>
      <c r="U37" s="18" t="str">
        <f>IF(X35&lt;Y9,"&lt;","&gt;")</f>
        <v>&lt;</v>
      </c>
      <c r="W37" s="18" t="str">
        <f>IF(Y9&gt;0.5*X35,"&gt;","&lt;")</f>
        <v>&gt;</v>
      </c>
      <c r="AB37" s="25"/>
      <c r="AD37" s="46" t="s">
        <v>48</v>
      </c>
      <c r="AE37" s="67" t="s">
        <v>2</v>
      </c>
      <c r="AF37" s="47" t="b">
        <f>IF(U37="&gt;",IF(W37="&gt;",O24/2))</f>
        <v>0</v>
      </c>
      <c r="AG37" s="68" t="s">
        <v>47</v>
      </c>
      <c r="AH37" s="47">
        <v>300</v>
      </c>
      <c r="AS37" s="93" t="s">
        <v>121</v>
      </c>
      <c r="AT37" s="94"/>
      <c r="AU37" s="94"/>
      <c r="AV37" s="94"/>
      <c r="AW37" s="94"/>
      <c r="AX37" s="94"/>
      <c r="AY37" s="94"/>
      <c r="AZ37" s="95"/>
    </row>
    <row r="38" spans="2:52" ht="15" customHeight="1" x14ac:dyDescent="0.25">
      <c r="B38" s="24"/>
      <c r="K38" s="18" t="s">
        <v>33</v>
      </c>
      <c r="L38" s="29" t="s">
        <v>2</v>
      </c>
      <c r="M38" s="91" t="str">
        <f>IF(M37="n/a","n/a",M37/O19)</f>
        <v>n/a</v>
      </c>
      <c r="N38" s="91"/>
      <c r="O38" s="91"/>
      <c r="P38" s="91"/>
      <c r="U38" s="16"/>
      <c r="AB38" s="25"/>
      <c r="AS38" s="96"/>
      <c r="AT38" s="97"/>
      <c r="AU38" s="97"/>
      <c r="AV38" s="97"/>
      <c r="AW38" s="97"/>
      <c r="AX38" s="97"/>
      <c r="AY38" s="97"/>
      <c r="AZ38" s="98"/>
    </row>
    <row r="39" spans="2:52" ht="15" customHeight="1" x14ac:dyDescent="0.25">
      <c r="B39" s="24"/>
      <c r="J39" s="29"/>
      <c r="K39" s="29" t="s">
        <v>2</v>
      </c>
      <c r="L39" s="89" t="str">
        <f>IF(J36="n/a","n/a",(0.9*J36*$O$13*(O24-(M37/2)))/1000^2)</f>
        <v>n/a</v>
      </c>
      <c r="M39" s="89"/>
      <c r="N39" s="89"/>
      <c r="O39" s="89"/>
      <c r="P39" s="89"/>
      <c r="W39" s="29" t="s">
        <v>2</v>
      </c>
      <c r="X39" s="124">
        <f>IF(X35&gt;$Y$9,"N/C",($Y$9/X33)-(X35/X33))</f>
        <v>33.483745576671481</v>
      </c>
      <c r="Y39" s="124"/>
      <c r="Z39" s="124"/>
      <c r="AB39" s="25"/>
      <c r="AD39" s="69" t="str">
        <f>IF($X$39&gt;(2/3)*SQRT($O$9)*$U$13*$O$24,"…increase size of beam!!!","")</f>
        <v/>
      </c>
      <c r="AS39" s="96"/>
      <c r="AT39" s="97"/>
      <c r="AU39" s="97"/>
      <c r="AV39" s="97"/>
      <c r="AW39" s="97"/>
      <c r="AX39" s="97"/>
      <c r="AY39" s="97"/>
      <c r="AZ39" s="98"/>
    </row>
    <row r="40" spans="2:52" ht="15" customHeight="1" x14ac:dyDescent="0.25">
      <c r="B40" s="24"/>
      <c r="K40" s="29" t="s">
        <v>2</v>
      </c>
      <c r="L40" s="89" t="str">
        <f>IF(L39="n/a","n/a",$V$9-L39)</f>
        <v>n/a</v>
      </c>
      <c r="M40" s="89"/>
      <c r="N40" s="89"/>
      <c r="O40" s="89"/>
      <c r="AB40" s="25"/>
      <c r="AS40" s="96"/>
      <c r="AT40" s="97"/>
      <c r="AU40" s="97"/>
      <c r="AV40" s="97"/>
      <c r="AW40" s="97"/>
      <c r="AX40" s="97"/>
      <c r="AY40" s="97"/>
      <c r="AZ40" s="98"/>
    </row>
    <row r="41" spans="2:52" ht="15" customHeight="1" x14ac:dyDescent="0.25">
      <c r="B41" s="24"/>
      <c r="AB41" s="25"/>
      <c r="AS41" s="96"/>
      <c r="AT41" s="97"/>
      <c r="AU41" s="97"/>
      <c r="AV41" s="97"/>
      <c r="AW41" s="97"/>
      <c r="AX41" s="97"/>
      <c r="AY41" s="97"/>
      <c r="AZ41" s="98"/>
    </row>
    <row r="42" spans="2:52" ht="15" customHeight="1" x14ac:dyDescent="0.25">
      <c r="B42" s="24"/>
      <c r="K42" s="29" t="s">
        <v>2</v>
      </c>
      <c r="L42" s="88" t="str">
        <f>IF(L40="n/a","n/a",(L40*1000^2)/(0.9*$O$13*(O24-O23)))</f>
        <v>n/a</v>
      </c>
      <c r="M42" s="88"/>
      <c r="N42" s="88"/>
      <c r="O42" s="88"/>
      <c r="P42" s="88"/>
      <c r="Q42" s="88"/>
      <c r="AB42" s="25"/>
      <c r="AS42" s="96"/>
      <c r="AT42" s="97"/>
      <c r="AU42" s="97"/>
      <c r="AV42" s="97"/>
      <c r="AW42" s="97"/>
      <c r="AX42" s="97"/>
      <c r="AY42" s="97"/>
      <c r="AZ42" s="98"/>
    </row>
    <row r="43" spans="2:52" ht="15" customHeight="1" x14ac:dyDescent="0.25">
      <c r="B43" s="24"/>
      <c r="K43" s="29" t="s">
        <v>2</v>
      </c>
      <c r="L43" s="84" t="str">
        <f>IF(J36="n/a","n/a",600*(M38-O23)/M38)</f>
        <v>n/a</v>
      </c>
      <c r="M43" s="84"/>
      <c r="N43" s="84"/>
      <c r="O43" s="84"/>
      <c r="W43" s="29" t="s">
        <v>2</v>
      </c>
      <c r="X43" s="91">
        <f>IF(X35&gt;$Y$9,"Use Smax",(2*(3.1416/4)*($J$15)^2*$O$14*O24)/(X39*1000))</f>
        <v>446.60523314986108</v>
      </c>
      <c r="Y43" s="91"/>
      <c r="Z43" s="91"/>
      <c r="AA43" s="91"/>
      <c r="AB43" s="25"/>
      <c r="AS43" s="96"/>
      <c r="AT43" s="97"/>
      <c r="AU43" s="97"/>
      <c r="AV43" s="97"/>
      <c r="AW43" s="97"/>
      <c r="AX43" s="97"/>
      <c r="AY43" s="97"/>
      <c r="AZ43" s="98"/>
    </row>
    <row r="44" spans="2:52" ht="15" customHeight="1" thickBot="1" x14ac:dyDescent="0.3">
      <c r="B44" s="24"/>
      <c r="F44" s="15" t="str">
        <f>IF(J36="n/a","",IF(L43&gt;$O$13,"f's &gt; fy (Compression steel yields)","f's &lt; fy (Compression steel will not yield)"))</f>
        <v/>
      </c>
      <c r="AB44" s="25"/>
      <c r="AS44" s="99" t="s">
        <v>122</v>
      </c>
      <c r="AT44" s="100"/>
      <c r="AU44" s="100"/>
      <c r="AV44" s="100"/>
      <c r="AW44" s="100"/>
      <c r="AX44" s="100"/>
      <c r="AY44" s="100"/>
      <c r="AZ44" s="101"/>
    </row>
    <row r="45" spans="2:52" ht="15" customHeight="1" x14ac:dyDescent="0.25">
      <c r="B45" s="24"/>
      <c r="D45" s="15" t="str">
        <f>IF(L43&lt;$O$13,"  For compression steel that does not yield:","For compression steel that yields:")</f>
        <v>For compression steel that yields:</v>
      </c>
      <c r="X45" s="145">
        <f>IF(AF37=FALSE,MIN(AF35,AF36,AH35,AH36),MIN(AF37,AH37))</f>
        <v>170</v>
      </c>
      <c r="Y45" s="145"/>
      <c r="Z45" s="145"/>
      <c r="AB45" s="25"/>
    </row>
    <row r="46" spans="2:52" ht="15" customHeight="1" x14ac:dyDescent="0.25">
      <c r="B46" s="24"/>
      <c r="E46" s="15" t="str">
        <f>IF(L43&gt;$O$13,"A's = As2","A's = As2fy/f's")</f>
        <v>A's = As2</v>
      </c>
      <c r="G46" s="29"/>
      <c r="J46" s="29" t="s">
        <v>2</v>
      </c>
      <c r="K46" s="88" t="str">
        <f>IF(L43&lt;$O$13,L42*$O$13/L43,L42)</f>
        <v>n/a</v>
      </c>
      <c r="L46" s="88"/>
      <c r="M46" s="88"/>
      <c r="N46" s="88"/>
      <c r="O46" s="88"/>
      <c r="S46" s="64"/>
      <c r="AB46" s="25"/>
    </row>
    <row r="47" spans="2:52" ht="15" customHeight="1" x14ac:dyDescent="0.25">
      <c r="B47" s="24"/>
      <c r="F47" s="15" t="str">
        <f>"A's provided"</f>
        <v>A's provided</v>
      </c>
      <c r="G47" s="29"/>
      <c r="J47" s="29" t="s">
        <v>2</v>
      </c>
      <c r="K47" s="88" t="str">
        <f>IF(K46="n/a","n/a",IF(N25&gt;$V$9,"",(R27*(3.1416/4)*(S27)^2)+(R26*(3.1416/4)*(S26)^2)))</f>
        <v>n/a</v>
      </c>
      <c r="L47" s="88"/>
      <c r="M47" s="88"/>
      <c r="N47" s="88"/>
      <c r="O47" s="88"/>
      <c r="P47" s="88"/>
      <c r="Q47" s="27" t="str">
        <f>IF(N25&gt;$V$9,"",IF(K47&gt;K46,"OK","NG"))</f>
        <v/>
      </c>
      <c r="S47" s="64"/>
      <c r="T47" s="15" t="s">
        <v>50</v>
      </c>
      <c r="U47" s="121">
        <f>$J$15</f>
        <v>10</v>
      </c>
      <c r="V47" s="121"/>
      <c r="W47" s="121"/>
      <c r="X47" s="127">
        <f>FLOOR(MIN(X43,X45),25)</f>
        <v>150</v>
      </c>
      <c r="Y47" s="127"/>
      <c r="Z47" s="127"/>
      <c r="AA47" s="127"/>
      <c r="AB47" s="25"/>
    </row>
    <row r="48" spans="2:52" ht="15" customHeight="1" x14ac:dyDescent="0.25">
      <c r="B48" s="24"/>
      <c r="J48" s="29" t="s">
        <v>2</v>
      </c>
      <c r="K48" s="18"/>
      <c r="L48" s="18"/>
      <c r="M48" s="18"/>
      <c r="O48" s="86" t="str">
        <f>IF(K46="n/a","n/a",J36+K46)</f>
        <v>n/a</v>
      </c>
      <c r="P48" s="86"/>
      <c r="Q48" s="86"/>
      <c r="R48" s="86"/>
      <c r="S48" s="70"/>
      <c r="AB48" s="25"/>
    </row>
    <row r="49" spans="2:39" ht="15" customHeight="1" thickBot="1" x14ac:dyDescent="0.3">
      <c r="B49" s="32"/>
      <c r="C49" s="33"/>
      <c r="D49" s="33"/>
      <c r="E49" s="33"/>
      <c r="F49" s="33"/>
      <c r="G49" s="33"/>
      <c r="H49" s="33"/>
      <c r="I49" s="33"/>
      <c r="J49" s="71" t="s">
        <v>2</v>
      </c>
      <c r="K49" s="87" t="str">
        <f>IF(K46="n/a","n/a",IF(N25&gt;$V$9,"",(R18*(3.1416/4)*(S18)^2)+(R19*(3.1416/4)*(S19)^2)))</f>
        <v>n/a</v>
      </c>
      <c r="L49" s="87"/>
      <c r="M49" s="87"/>
      <c r="N49" s="87"/>
      <c r="O49" s="87"/>
      <c r="P49" s="87"/>
      <c r="Q49" s="72" t="str">
        <f>IF(N25&gt;$V$9,"",IF(K49&gt;O48,"OK","NG"))</f>
        <v/>
      </c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8"/>
    </row>
    <row r="50" spans="2:39" ht="9" customHeight="1" thickTop="1" x14ac:dyDescent="0.25">
      <c r="B50" s="40"/>
      <c r="C50" s="40"/>
      <c r="D50" s="40"/>
      <c r="E50" s="40"/>
      <c r="F50" s="40"/>
      <c r="G50" s="40"/>
      <c r="H50" s="40"/>
      <c r="I50" s="40"/>
      <c r="J50" s="73"/>
      <c r="K50" s="74"/>
      <c r="L50" s="74"/>
      <c r="M50" s="74"/>
      <c r="N50" s="74"/>
      <c r="O50" s="74"/>
      <c r="P50" s="74"/>
      <c r="Q50" s="75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</row>
    <row r="51" spans="2:39" ht="9" customHeight="1" thickBot="1" x14ac:dyDescent="0.3">
      <c r="J51" s="29"/>
      <c r="K51" s="70"/>
      <c r="L51" s="70"/>
      <c r="M51" s="70"/>
      <c r="N51" s="70"/>
      <c r="O51" s="70"/>
      <c r="P51" s="70"/>
      <c r="Q51" s="27"/>
    </row>
    <row r="52" spans="2:39" ht="15" customHeight="1" thickTop="1" x14ac:dyDescent="0.25"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1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2"/>
      <c r="AD52" s="43"/>
      <c r="AE52" s="43"/>
      <c r="AF52" s="43"/>
      <c r="AG52" s="43"/>
      <c r="AH52" s="44"/>
      <c r="AI52" s="45" t="s">
        <v>51</v>
      </c>
      <c r="AJ52" s="117" t="s">
        <v>9</v>
      </c>
      <c r="AK52" s="118"/>
      <c r="AL52" s="119"/>
      <c r="AM52" s="76" t="s">
        <v>52</v>
      </c>
    </row>
    <row r="53" spans="2:39" ht="15" customHeight="1" x14ac:dyDescent="0.25">
      <c r="B53" s="24"/>
      <c r="C53" s="27" t="s">
        <v>55</v>
      </c>
      <c r="U53" s="15" t="s">
        <v>36</v>
      </c>
      <c r="Y53" s="125">
        <f>($U$13-2*$O$10-2*$J$15-R54*S54)/(R54-1)</f>
        <v>45</v>
      </c>
      <c r="Z53" s="125"/>
      <c r="AA53" s="125"/>
      <c r="AB53" s="25"/>
      <c r="AD53" s="46" t="s">
        <v>37</v>
      </c>
      <c r="AE53" s="46"/>
      <c r="AF53" s="46"/>
      <c r="AG53" s="46"/>
      <c r="AH53" s="47"/>
      <c r="AI53" s="48">
        <f>IF($I$33="","DRB",$I$33/$I$34)</f>
        <v>0.61988365994059758</v>
      </c>
      <c r="AJ53" s="142" t="str">
        <f>IF($I$69="","DRB",$I$69/$I$70)</f>
        <v>DRB</v>
      </c>
      <c r="AK53" s="143"/>
      <c r="AL53" s="144"/>
      <c r="AM53" s="48" t="str">
        <f>IF($I$105="","DRB",$I$105/$I$106)</f>
        <v>DRB</v>
      </c>
    </row>
    <row r="54" spans="2:39" ht="15" customHeight="1" x14ac:dyDescent="0.25">
      <c r="B54" s="24"/>
      <c r="C54" s="49" t="s">
        <v>43</v>
      </c>
      <c r="I54" s="50" t="s">
        <v>0</v>
      </c>
      <c r="J54" s="29" t="s">
        <v>2</v>
      </c>
      <c r="K54" s="83">
        <v>0.9</v>
      </c>
      <c r="L54" s="83"/>
      <c r="R54" s="9">
        <v>3</v>
      </c>
      <c r="S54" s="123">
        <v>20</v>
      </c>
      <c r="T54" s="123"/>
      <c r="U54" s="17"/>
      <c r="V54" s="17"/>
      <c r="W54" s="17"/>
      <c r="X54" s="17"/>
      <c r="Y54" s="17"/>
      <c r="Z54" s="17"/>
      <c r="AA54" s="17"/>
      <c r="AB54" s="25"/>
      <c r="AI54" s="52"/>
      <c r="AJ54" s="52"/>
      <c r="AK54" s="52"/>
      <c r="AL54" s="52"/>
      <c r="AM54" s="52"/>
    </row>
    <row r="55" spans="2:39" ht="15" customHeight="1" x14ac:dyDescent="0.25">
      <c r="B55" s="24"/>
      <c r="C55" s="15" t="s">
        <v>1</v>
      </c>
      <c r="G55" s="82">
        <v>0.75</v>
      </c>
      <c r="H55" s="82"/>
      <c r="M55" s="53"/>
      <c r="N55" s="29" t="s">
        <v>2</v>
      </c>
      <c r="O55" s="82">
        <f>IF($O$9&lt;=28,0.85,0.85-(0.05/7)*($O$9-28))</f>
        <v>0.85</v>
      </c>
      <c r="P55" s="82"/>
      <c r="R55" s="9">
        <v>0</v>
      </c>
      <c r="S55" s="123">
        <v>20</v>
      </c>
      <c r="T55" s="123"/>
      <c r="U55" s="17"/>
      <c r="V55" s="17"/>
      <c r="W55" s="17"/>
      <c r="X55" s="17"/>
      <c r="Y55" s="17"/>
      <c r="Z55" s="17"/>
      <c r="AA55" s="17"/>
      <c r="AB55" s="25"/>
      <c r="AD55" s="17" t="s">
        <v>38</v>
      </c>
      <c r="AI55" s="54"/>
      <c r="AJ55" s="52"/>
      <c r="AK55" s="52"/>
      <c r="AL55" s="52"/>
      <c r="AM55" s="52"/>
    </row>
    <row r="56" spans="2:39" ht="15" customHeight="1" x14ac:dyDescent="0.25">
      <c r="B56" s="24"/>
      <c r="N56" s="18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25"/>
      <c r="AI56" s="45" t="s">
        <v>51</v>
      </c>
      <c r="AJ56" s="117" t="s">
        <v>9</v>
      </c>
      <c r="AK56" s="118"/>
      <c r="AL56" s="119"/>
      <c r="AM56" s="45" t="s">
        <v>52</v>
      </c>
    </row>
    <row r="57" spans="2:39" ht="15" customHeight="1" x14ac:dyDescent="0.25">
      <c r="B57" s="24"/>
      <c r="L57" s="29"/>
      <c r="N57" s="18" t="s">
        <v>2</v>
      </c>
      <c r="O57" s="81">
        <f>0.75*((0.85*($O$9)*(O55)*(600))/($O$13*(600+$O$13)))</f>
        <v>2.0931249999999998E-2</v>
      </c>
      <c r="P57" s="81"/>
      <c r="Q57" s="81"/>
      <c r="R57" s="17"/>
      <c r="S57" s="17"/>
      <c r="T57" s="17"/>
      <c r="U57" s="17"/>
      <c r="V57" s="17"/>
      <c r="W57" s="17"/>
      <c r="X57" s="17"/>
      <c r="Y57" s="17"/>
      <c r="Z57" s="141">
        <f>$U$14</f>
        <v>400</v>
      </c>
      <c r="AA57" s="17"/>
      <c r="AB57" s="25"/>
      <c r="AH57" s="47" t="s">
        <v>39</v>
      </c>
      <c r="AI57" s="48" t="str">
        <f>IF($K$46="n/a","SRB",$K$46/$K$47)</f>
        <v>SRB</v>
      </c>
      <c r="AJ57" s="142">
        <f>IF($K$82="n/a","SRB",$K$82/$K$83)</f>
        <v>4.0335211023992699E-2</v>
      </c>
      <c r="AK57" s="143"/>
      <c r="AL57" s="144"/>
      <c r="AM57" s="48">
        <f>IF($K$118="n/a","SRB",$K$118/$K$119)</f>
        <v>0.74099103357643781</v>
      </c>
    </row>
    <row r="58" spans="2:39" ht="15" customHeight="1" x14ac:dyDescent="0.25">
      <c r="B58" s="24"/>
      <c r="N58" s="18"/>
      <c r="R58" s="17"/>
      <c r="S58" s="17"/>
      <c r="T58" s="17"/>
      <c r="U58" s="17"/>
      <c r="V58" s="17"/>
      <c r="W58" s="17"/>
      <c r="X58" s="17"/>
      <c r="Y58" s="17"/>
      <c r="Z58" s="141"/>
      <c r="AA58" s="17"/>
      <c r="AB58" s="25"/>
      <c r="AH58" s="47" t="s">
        <v>40</v>
      </c>
      <c r="AI58" s="48" t="str">
        <f>IF($O$48="n/a","SRB",$O$48/$K$49)</f>
        <v>SRB</v>
      </c>
      <c r="AJ58" s="142">
        <f>IF($O$84="n/a","SRB",$O$84/$K$85)</f>
        <v>0.9640371040689949</v>
      </c>
      <c r="AK58" s="143"/>
      <c r="AL58" s="144"/>
      <c r="AM58" s="48">
        <f>IF($O$120="n/a","SRB",$O$120/$K$121)</f>
        <v>1.3143650153452173</v>
      </c>
    </row>
    <row r="59" spans="2:39" ht="15" customHeight="1" x14ac:dyDescent="0.25">
      <c r="B59" s="24"/>
      <c r="G59" s="29"/>
      <c r="I59" s="18" t="s">
        <v>2</v>
      </c>
      <c r="J59" s="81">
        <f>$O$21*($O$13/$O$9)</f>
        <v>0.31874999999999998</v>
      </c>
      <c r="K59" s="81"/>
      <c r="L59" s="81"/>
      <c r="M59" s="81"/>
      <c r="N59" s="51" t="s">
        <v>34</v>
      </c>
      <c r="O59" s="91">
        <f>$O$10+$J$15+IF(R62&gt;0,S63,S63/2)</f>
        <v>70</v>
      </c>
      <c r="P59" s="91"/>
      <c r="Q59" s="91"/>
      <c r="R59" s="91"/>
      <c r="S59" s="17"/>
      <c r="T59" s="17"/>
      <c r="U59" s="17"/>
      <c r="V59" s="17"/>
      <c r="W59" s="17"/>
      <c r="X59" s="17"/>
      <c r="Y59" s="17"/>
      <c r="Z59" s="141"/>
      <c r="AA59" s="17"/>
      <c r="AB59" s="25"/>
      <c r="AI59" s="52"/>
      <c r="AJ59" s="52"/>
      <c r="AK59" s="52"/>
      <c r="AL59" s="52"/>
      <c r="AM59" s="52"/>
    </row>
    <row r="60" spans="2:39" ht="15" customHeight="1" x14ac:dyDescent="0.25">
      <c r="B60" s="24"/>
      <c r="N60" s="18" t="s">
        <v>35</v>
      </c>
      <c r="O60" s="90">
        <f>$U$14-$O$10-$J$15-S63/2</f>
        <v>340</v>
      </c>
      <c r="P60" s="90"/>
      <c r="Q60" s="90"/>
      <c r="R60" s="90"/>
      <c r="S60" s="17"/>
      <c r="T60" s="17"/>
      <c r="U60" s="17"/>
      <c r="V60" s="17"/>
      <c r="W60" s="17"/>
      <c r="X60" s="17"/>
      <c r="Y60" s="17"/>
      <c r="Z60" s="141"/>
      <c r="AA60" s="17"/>
      <c r="AB60" s="25"/>
      <c r="AD60" s="17" t="s">
        <v>41</v>
      </c>
      <c r="AH60" s="59"/>
      <c r="AI60" s="48">
        <f>($R$27*(3.1416/4)*$S$27+$R$26*(3.1416/4)*$S$26)/($R$18*(3.1416/4)*$S$18+$R$19*(3.1416/4)*$S$19)</f>
        <v>0.6</v>
      </c>
      <c r="AJ60" s="142">
        <f>($R$54*(3.1416/4)*$S$54+$R$55*(3.1416/4)*$S$55)/($R$63*(3.1416/4)*$S$63+$R$62*(3.1416/4)*$S$62)</f>
        <v>0.5</v>
      </c>
      <c r="AK60" s="143"/>
      <c r="AL60" s="144"/>
      <c r="AM60" s="48">
        <f>($R$99*(3.1416/4)*$S$99+$R$98*(3.1416/4)*$S$98)/($R$90*(3.1416/4)*$S$90+$R$91*(3.1416/4)*$S$91)</f>
        <v>0.5</v>
      </c>
    </row>
    <row r="61" spans="2:39" ht="15" customHeight="1" x14ac:dyDescent="0.25">
      <c r="B61" s="24"/>
      <c r="L61" s="29"/>
      <c r="M61" s="18" t="s">
        <v>2</v>
      </c>
      <c r="N61" s="104">
        <f>ROUNDUP((0.9*$O$9*J59*$U$13*O60^2*(1-0.59*J59))/1000^2,2)</f>
        <v>185.66</v>
      </c>
      <c r="O61" s="104"/>
      <c r="P61" s="104"/>
      <c r="Q61" s="104"/>
      <c r="R61" s="104"/>
      <c r="S61" s="104"/>
      <c r="T61" s="17"/>
      <c r="U61" s="17"/>
      <c r="V61" s="17"/>
      <c r="W61" s="17"/>
      <c r="X61" s="17"/>
      <c r="Y61" s="17"/>
      <c r="Z61" s="141"/>
      <c r="AA61" s="17"/>
      <c r="AB61" s="25"/>
      <c r="AE61" s="122"/>
      <c r="AF61" s="122"/>
    </row>
    <row r="62" spans="2:39" ht="15" customHeight="1" x14ac:dyDescent="0.25">
      <c r="B62" s="24"/>
      <c r="R62" s="9">
        <v>3</v>
      </c>
      <c r="S62" s="123">
        <v>20</v>
      </c>
      <c r="T62" s="123"/>
      <c r="U62" s="17"/>
      <c r="V62" s="17"/>
      <c r="W62" s="17"/>
      <c r="X62" s="17"/>
      <c r="Y62" s="17"/>
      <c r="Z62" s="17"/>
      <c r="AA62" s="17"/>
      <c r="AB62" s="25"/>
      <c r="AE62" s="122"/>
      <c r="AF62" s="122"/>
    </row>
    <row r="63" spans="2:39" ht="15" customHeight="1" x14ac:dyDescent="0.25">
      <c r="B63" s="24"/>
      <c r="D63" s="15" t="str">
        <f>IF(N61&gt;$V$10,"𝑀𝑢𝑚𝑎𝑥 &gt; 𝑀𝑢  (Compression steel not Required)","𝑀𝑢𝑚𝑎𝑥 &lt; 𝑀𝑢  (Compression steel Required)")</f>
        <v>𝑀𝑢𝑚𝑎𝑥 &lt; 𝑀𝑢  (Compression steel Required)</v>
      </c>
      <c r="R63" s="9">
        <v>3</v>
      </c>
      <c r="S63" s="123">
        <v>20</v>
      </c>
      <c r="T63" s="123"/>
      <c r="U63" s="17"/>
      <c r="V63" s="17"/>
      <c r="W63" s="17"/>
      <c r="X63" s="17"/>
      <c r="Y63" s="17"/>
      <c r="Z63" s="17"/>
      <c r="AA63" s="17"/>
      <c r="AB63" s="25"/>
      <c r="AE63" s="122"/>
      <c r="AF63" s="122"/>
    </row>
    <row r="64" spans="2:39" ht="15" customHeight="1" x14ac:dyDescent="0.25">
      <c r="B64" s="24"/>
      <c r="I64" s="15" t="str">
        <f>IF(N61&lt;$V$10,"…proceed to step III","…proceed to step II")</f>
        <v>…proceed to step III</v>
      </c>
      <c r="Q64" s="17"/>
      <c r="S64" s="17"/>
      <c r="T64" s="17"/>
      <c r="U64" s="17"/>
      <c r="V64" s="17"/>
      <c r="W64" s="17"/>
      <c r="X64" s="17"/>
      <c r="Y64" s="17"/>
      <c r="Z64" s="17"/>
      <c r="AA64" s="17"/>
      <c r="AB64" s="25"/>
      <c r="AE64" s="122"/>
      <c r="AF64" s="122"/>
    </row>
    <row r="65" spans="2:34" ht="15" customHeight="1" x14ac:dyDescent="0.25">
      <c r="B65" s="24"/>
      <c r="C65" s="15" t="s">
        <v>30</v>
      </c>
      <c r="H65" s="29" t="str">
        <f>IF($N$25&lt;$V$10,"","=")</f>
        <v/>
      </c>
      <c r="I65" s="84" t="str">
        <f>IF(N61&lt;$V$10,"",IF(N61&lt;$V$10,"n/a",$V$10*1000^2/(0.9*$U$13*O60^2)))</f>
        <v/>
      </c>
      <c r="J65" s="84"/>
      <c r="K65" s="84"/>
      <c r="L65" s="84"/>
      <c r="M65" s="15"/>
      <c r="V65" s="122">
        <f>$U$13</f>
        <v>250</v>
      </c>
      <c r="W65" s="122"/>
      <c r="X65" s="122"/>
      <c r="AB65" s="25"/>
      <c r="AD65" s="60" t="str">
        <f>IF(Y53&lt;25,"-increase beam width!!!","")</f>
        <v/>
      </c>
    </row>
    <row r="66" spans="2:34" ht="15" customHeight="1" x14ac:dyDescent="0.25">
      <c r="B66" s="24"/>
      <c r="V66" s="15" t="s">
        <v>36</v>
      </c>
      <c r="Z66" s="125">
        <f>($U$13-2*$O$10-2*$J$15-R63*S63)/(R63-1)</f>
        <v>45</v>
      </c>
      <c r="AA66" s="125"/>
      <c r="AB66" s="126"/>
      <c r="AD66" s="60" t="str">
        <f>IF(Z66&lt;25,"-increase beam width!!!","")</f>
        <v/>
      </c>
    </row>
    <row r="67" spans="2:34" ht="15" customHeight="1" x14ac:dyDescent="0.25">
      <c r="B67" s="24"/>
      <c r="N67" s="61" t="str">
        <f>IF(I65="","","=")</f>
        <v/>
      </c>
      <c r="O67" s="81" t="str">
        <f>IF(I65="","",(0.85*($O$9)/$O$13)*(1-SQRT(1-(2*I65)/(0.85*$O$9))))</f>
        <v/>
      </c>
      <c r="P67" s="81"/>
      <c r="Q67" s="81"/>
      <c r="R67" s="15" t="str">
        <f>IF(I65="","",IF(O67&gt;V67,"&gt;","&lt;"))</f>
        <v/>
      </c>
      <c r="U67" s="61" t="s">
        <v>2</v>
      </c>
      <c r="V67" s="81">
        <f>1.4/$O$13</f>
        <v>3.3333333333333331E-3</v>
      </c>
      <c r="W67" s="81"/>
      <c r="X67" s="81"/>
      <c r="AB67" s="25"/>
      <c r="AD67" s="62" t="str">
        <f>IF(I65="","",IF(R67="&gt;","","...exceeds ρmin!!!"))</f>
        <v/>
      </c>
    </row>
    <row r="68" spans="2:34" ht="15" customHeight="1" x14ac:dyDescent="0.25">
      <c r="B68" s="24"/>
      <c r="AB68" s="25"/>
    </row>
    <row r="69" spans="2:34" ht="15" customHeight="1" x14ac:dyDescent="0.25">
      <c r="B69" s="24"/>
      <c r="D69" s="15" t="str">
        <f>IF(N61&lt;$V$10,"","𝐴𝑠 required  =")</f>
        <v/>
      </c>
      <c r="G69" s="63"/>
      <c r="I69" s="88" t="str">
        <f>IF(O67="","",IF(O67&gt;V67,O67*$U$13*O60,V67*$U$13*O60))</f>
        <v/>
      </c>
      <c r="J69" s="88"/>
      <c r="K69" s="88"/>
      <c r="L69" s="88"/>
      <c r="M69" s="88"/>
      <c r="N69" s="88"/>
      <c r="R69" s="49" t="s">
        <v>44</v>
      </c>
      <c r="V69" s="50" t="s">
        <v>0</v>
      </c>
      <c r="W69" s="29" t="s">
        <v>2</v>
      </c>
      <c r="X69" s="83">
        <v>0.85</v>
      </c>
      <c r="Y69" s="83"/>
      <c r="AB69" s="25"/>
    </row>
    <row r="70" spans="2:34" ht="15" customHeight="1" x14ac:dyDescent="0.25">
      <c r="B70" s="24"/>
      <c r="D70" s="15" t="str">
        <f>IF($N$25&lt;$V$10,"","𝐴𝑠 provided  =")</f>
        <v/>
      </c>
      <c r="I70" s="88" t="str">
        <f>IF(N61&lt;$V$10,"",(R62*(3.1416/4)*(S62)^2)+(R63*(3.1416/4)*(S63)^2))</f>
        <v/>
      </c>
      <c r="J70" s="88"/>
      <c r="K70" s="88"/>
      <c r="L70" s="88"/>
      <c r="M70" s="88"/>
      <c r="N70" s="92" t="str">
        <f>IF(N61&lt;$V$10,"",IF(I70&gt;I69,"OK","NG"))</f>
        <v/>
      </c>
      <c r="O70" s="92"/>
      <c r="AB70" s="25"/>
      <c r="AD70" s="65" t="s">
        <v>49</v>
      </c>
    </row>
    <row r="71" spans="2:34" ht="15" customHeight="1" x14ac:dyDescent="3.5">
      <c r="B71" s="24"/>
      <c r="E71" s="66" t="s">
        <v>29</v>
      </c>
      <c r="W71" s="29" t="s">
        <v>2</v>
      </c>
      <c r="X71" s="124">
        <f>(X69*(1/6)*(SQRT($O$9))*$U$13*O60)/1000</f>
        <v>63.23881625982925</v>
      </c>
      <c r="Y71" s="124"/>
      <c r="Z71" s="124"/>
      <c r="AB71" s="25"/>
      <c r="AD71" s="46" t="s">
        <v>45</v>
      </c>
      <c r="AE71" s="67" t="s">
        <v>2</v>
      </c>
      <c r="AF71" s="47" t="b">
        <f>IF(X75&lt;=((1/3)*SQRT($O$9)*$U$13*O60)/1000,O60/2)</f>
        <v>0</v>
      </c>
      <c r="AG71" s="68" t="s">
        <v>47</v>
      </c>
      <c r="AH71" s="47">
        <v>300</v>
      </c>
    </row>
    <row r="72" spans="2:34" ht="15" customHeight="1" x14ac:dyDescent="0.25">
      <c r="B72" s="24"/>
      <c r="C72" s="15" t="s">
        <v>31</v>
      </c>
      <c r="I72" s="29" t="s">
        <v>2</v>
      </c>
      <c r="J72" s="88">
        <f>IF(N61&gt;$V$10,"n/a",O57*$U$13*O60)</f>
        <v>1779.1562499999998</v>
      </c>
      <c r="K72" s="88"/>
      <c r="L72" s="88"/>
      <c r="M72" s="88"/>
      <c r="N72" s="88"/>
      <c r="AB72" s="25"/>
      <c r="AD72" s="46" t="s">
        <v>46</v>
      </c>
      <c r="AE72" s="67" t="s">
        <v>2</v>
      </c>
      <c r="AF72" s="47" t="str">
        <f>IF(X75="N/C","",IF(X75&gt;((1/3)*SQRT($O$9)*$U$13*O60)/1000,O60/4))</f>
        <v/>
      </c>
      <c r="AG72" s="68" t="s">
        <v>47</v>
      </c>
      <c r="AH72" s="47">
        <v>200</v>
      </c>
    </row>
    <row r="73" spans="2:34" ht="15" customHeight="1" x14ac:dyDescent="0.25">
      <c r="B73" s="24"/>
      <c r="K73" s="18" t="s">
        <v>32</v>
      </c>
      <c r="L73" s="29" t="s">
        <v>2</v>
      </c>
      <c r="M73" s="90">
        <f>IF(J72="n/a","n/a",(J72*$O$13)/(0.85*$O$9*$U$13))</f>
        <v>127.5</v>
      </c>
      <c r="N73" s="90"/>
      <c r="O73" s="90"/>
      <c r="P73" s="90"/>
      <c r="U73" s="18" t="str">
        <f>IF(X71&lt;Y10,"&lt;","&gt;")</f>
        <v>&gt;</v>
      </c>
      <c r="W73" s="18" t="str">
        <f>IF(Y10&gt;0.5*X71,"&gt;","&lt;")</f>
        <v>&lt;</v>
      </c>
      <c r="AB73" s="25"/>
      <c r="AD73" s="46" t="s">
        <v>48</v>
      </c>
      <c r="AE73" s="67" t="s">
        <v>2</v>
      </c>
      <c r="AF73" s="47" t="b">
        <f>IF(U73="&gt;",IF(W73="&gt;",O60/2))</f>
        <v>0</v>
      </c>
      <c r="AG73" s="68" t="s">
        <v>47</v>
      </c>
      <c r="AH73" s="47">
        <v>300</v>
      </c>
    </row>
    <row r="74" spans="2:34" ht="15" customHeight="1" x14ac:dyDescent="0.25">
      <c r="B74" s="24"/>
      <c r="K74" s="18" t="s">
        <v>33</v>
      </c>
      <c r="L74" s="29" t="s">
        <v>2</v>
      </c>
      <c r="M74" s="91">
        <f>IF(M73="n/a","n/a",M73/O55)</f>
        <v>150</v>
      </c>
      <c r="N74" s="91"/>
      <c r="O74" s="91"/>
      <c r="P74" s="91"/>
      <c r="U74" s="16"/>
      <c r="AB74" s="25"/>
    </row>
    <row r="75" spans="2:34" ht="15" customHeight="1" x14ac:dyDescent="0.25">
      <c r="B75" s="24"/>
      <c r="J75" s="29"/>
      <c r="K75" s="29" t="s">
        <v>2</v>
      </c>
      <c r="L75" s="89">
        <f>IF(J72="n/a","n/a",(0.9*J72*$O$13*(O60-(M73/2)))/1000^2)</f>
        <v>185.783943515625</v>
      </c>
      <c r="M75" s="89"/>
      <c r="N75" s="89"/>
      <c r="O75" s="89"/>
      <c r="P75" s="89"/>
      <c r="W75" s="29" t="s">
        <v>2</v>
      </c>
      <c r="X75" s="124" t="str">
        <f>IF(X71&gt;$Y$10,"N/C",($Y$10/X69)-(X71/X69))</f>
        <v>N/C</v>
      </c>
      <c r="Y75" s="124"/>
      <c r="Z75" s="124"/>
      <c r="AB75" s="25"/>
      <c r="AD75" s="69" t="str">
        <f>IF($X$39&gt;(2/3)*SQRT($O$9)*$U$13*$O$24,"…increase size of beam!!!","")</f>
        <v/>
      </c>
    </row>
    <row r="76" spans="2:34" ht="15" customHeight="1" x14ac:dyDescent="0.25">
      <c r="B76" s="24"/>
      <c r="K76" s="29" t="s">
        <v>2</v>
      </c>
      <c r="L76" s="89">
        <f>IF(L75="n/a","n/a",$V$10-L75)</f>
        <v>2.9560564843750115</v>
      </c>
      <c r="M76" s="89"/>
      <c r="N76" s="89"/>
      <c r="O76" s="89"/>
      <c r="AB76" s="25"/>
    </row>
    <row r="77" spans="2:34" ht="15" customHeight="1" x14ac:dyDescent="0.25">
      <c r="B77" s="24"/>
      <c r="AB77" s="25"/>
    </row>
    <row r="78" spans="2:34" ht="15" customHeight="1" x14ac:dyDescent="0.25">
      <c r="B78" s="24"/>
      <c r="K78" s="29" t="s">
        <v>2</v>
      </c>
      <c r="L78" s="88">
        <f>IF(L76="n/a","n/a",(L76*1000^2)/(0.9*$O$13*(O60-O59)))</f>
        <v>28.963908332108677</v>
      </c>
      <c r="M78" s="88"/>
      <c r="N78" s="88"/>
      <c r="O78" s="88"/>
      <c r="P78" s="88"/>
      <c r="Q78" s="88"/>
      <c r="AB78" s="25"/>
    </row>
    <row r="79" spans="2:34" ht="15" customHeight="1" x14ac:dyDescent="0.25">
      <c r="B79" s="24"/>
      <c r="K79" s="29" t="s">
        <v>2</v>
      </c>
      <c r="L79" s="84">
        <f>IF(J72="n/a","n/a",600*(M74-O59)/M74)</f>
        <v>320</v>
      </c>
      <c r="M79" s="84"/>
      <c r="N79" s="84"/>
      <c r="O79" s="84"/>
      <c r="W79" s="29" t="s">
        <v>2</v>
      </c>
      <c r="X79" s="91" t="str">
        <f>IF(X71&gt;$Y$10,"Use Smax",(2*(3.1416/4)*($J$15)^2*$O$14*O60)/(X75*1000))</f>
        <v>Use Smax</v>
      </c>
      <c r="Y79" s="91"/>
      <c r="Z79" s="91"/>
      <c r="AA79" s="91"/>
      <c r="AB79" s="25"/>
    </row>
    <row r="80" spans="2:34" ht="15" customHeight="1" x14ac:dyDescent="0.25">
      <c r="B80" s="24"/>
      <c r="F80" s="15" t="str">
        <f>IF(J72="n/a","",IF(L79&gt;$O$13,"f's &gt; fy (Compression steel yields)","f's &lt; fy (Compression steel will not yield)"))</f>
        <v>f's &lt; fy (Compression steel will not yield)</v>
      </c>
      <c r="AB80" s="25"/>
    </row>
    <row r="81" spans="2:39" ht="15" customHeight="1" x14ac:dyDescent="0.25">
      <c r="B81" s="24"/>
      <c r="D81" s="15" t="str">
        <f>IF(L79&lt;$O$13,"  For compression steel that does not yield:","For compression steel that yields:")</f>
        <v xml:space="preserve">  For compression steel that does not yield:</v>
      </c>
      <c r="X81" s="145">
        <f>IF(AF73=FALSE,MIN(AF71,AF72,AH71,AH72),MIN(AF73,AH73))</f>
        <v>200</v>
      </c>
      <c r="Y81" s="145"/>
      <c r="Z81" s="145"/>
      <c r="AB81" s="25"/>
    </row>
    <row r="82" spans="2:39" ht="15" customHeight="1" x14ac:dyDescent="0.25">
      <c r="B82" s="24"/>
      <c r="E82" s="15" t="str">
        <f>IF(L79&gt;$O$13,"A's = As2","A's = As2fy/f's")</f>
        <v>A's = As2fy/f's</v>
      </c>
      <c r="G82" s="29"/>
      <c r="J82" s="29" t="s">
        <v>2</v>
      </c>
      <c r="K82" s="88">
        <f>IF(L79&lt;$O$13,L78*$O$13/L79,L78)</f>
        <v>38.015129685892639</v>
      </c>
      <c r="L82" s="88"/>
      <c r="M82" s="88"/>
      <c r="N82" s="88"/>
      <c r="O82" s="88"/>
      <c r="S82" s="64"/>
      <c r="AB82" s="25"/>
    </row>
    <row r="83" spans="2:39" ht="15" customHeight="1" x14ac:dyDescent="0.25">
      <c r="B83" s="24"/>
      <c r="F83" s="15" t="str">
        <f>"A's provided"</f>
        <v>A's provided</v>
      </c>
      <c r="G83" s="29"/>
      <c r="J83" s="29" t="s">
        <v>2</v>
      </c>
      <c r="K83" s="88">
        <f>IF(K82="n/a","n/a",IF(N61&gt;$V$10,"",(R54*(3.1416/4)*(S54)^2)+(R55*(3.1416/4)*(S55)^2)))</f>
        <v>942.4799999999999</v>
      </c>
      <c r="L83" s="88"/>
      <c r="M83" s="88"/>
      <c r="N83" s="88"/>
      <c r="O83" s="88"/>
      <c r="P83" s="88"/>
      <c r="Q83" s="27" t="str">
        <f>IF(N61&gt;$V$10,"",IF(K83&gt;K82,"OK","NG"))</f>
        <v>OK</v>
      </c>
      <c r="S83" s="64"/>
      <c r="T83" s="15" t="s">
        <v>50</v>
      </c>
      <c r="U83" s="121">
        <f>$J$15</f>
        <v>10</v>
      </c>
      <c r="V83" s="121"/>
      <c r="W83" s="121"/>
      <c r="X83" s="127">
        <f>FLOOR(MIN(X79,X81),25)</f>
        <v>200</v>
      </c>
      <c r="Y83" s="127"/>
      <c r="Z83" s="127"/>
      <c r="AA83" s="127"/>
      <c r="AB83" s="25"/>
    </row>
    <row r="84" spans="2:39" ht="15" customHeight="1" x14ac:dyDescent="0.25">
      <c r="B84" s="24"/>
      <c r="J84" s="29" t="s">
        <v>2</v>
      </c>
      <c r="K84" s="18"/>
      <c r="L84" s="18"/>
      <c r="M84" s="18"/>
      <c r="O84" s="86">
        <f>IF(K82="n/a","n/a",J72+K82)</f>
        <v>1817.1713796858924</v>
      </c>
      <c r="P84" s="86"/>
      <c r="Q84" s="86"/>
      <c r="R84" s="86"/>
      <c r="S84" s="86"/>
      <c r="AB84" s="25"/>
    </row>
    <row r="85" spans="2:39" ht="15" customHeight="1" thickBot="1" x14ac:dyDescent="0.3">
      <c r="B85" s="32"/>
      <c r="C85" s="33"/>
      <c r="D85" s="33"/>
      <c r="E85" s="33"/>
      <c r="F85" s="33"/>
      <c r="G85" s="33"/>
      <c r="H85" s="33"/>
      <c r="I85" s="33"/>
      <c r="J85" s="71" t="s">
        <v>2</v>
      </c>
      <c r="K85" s="87">
        <f>IF(K82="n/a","n/a",IF(N61&gt;$V$10,"",(R63*(3.1416/4)*(S63)^2)+(R62*(3.1416/4)*(S62)^2)))</f>
        <v>1884.9599999999998</v>
      </c>
      <c r="L85" s="87"/>
      <c r="M85" s="87"/>
      <c r="N85" s="87"/>
      <c r="O85" s="87"/>
      <c r="P85" s="87"/>
      <c r="Q85" s="77" t="str">
        <f>IF(N61&gt;$V$10,"",IF(K85&gt;O84,"OK","NG"))</f>
        <v>OK</v>
      </c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8"/>
    </row>
    <row r="86" spans="2:39" ht="9" customHeight="1" thickTop="1" x14ac:dyDescent="0.25">
      <c r="B86" s="40"/>
      <c r="C86" s="40"/>
      <c r="D86" s="40"/>
      <c r="E86" s="40"/>
      <c r="F86" s="40"/>
      <c r="G86" s="40"/>
      <c r="H86" s="40"/>
      <c r="I86" s="40"/>
      <c r="J86" s="73"/>
      <c r="K86" s="74"/>
      <c r="L86" s="74"/>
      <c r="M86" s="74"/>
      <c r="N86" s="74"/>
      <c r="O86" s="74"/>
      <c r="P86" s="74"/>
      <c r="Q86" s="75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</row>
    <row r="87" spans="2:39" ht="9" customHeight="1" thickBot="1" x14ac:dyDescent="0.3">
      <c r="J87" s="29"/>
      <c r="K87" s="70"/>
      <c r="L87" s="70"/>
      <c r="M87" s="70"/>
      <c r="N87" s="70"/>
      <c r="O87" s="70"/>
      <c r="P87" s="70"/>
      <c r="Q87" s="27"/>
    </row>
    <row r="88" spans="2:39" ht="15" customHeight="1" thickTop="1" x14ac:dyDescent="0.25"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1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2"/>
      <c r="AD88" s="43"/>
      <c r="AE88" s="43"/>
      <c r="AF88" s="43"/>
      <c r="AG88" s="43"/>
      <c r="AH88" s="44"/>
      <c r="AI88" s="45" t="s">
        <v>51</v>
      </c>
      <c r="AJ88" s="117" t="s">
        <v>9</v>
      </c>
      <c r="AK88" s="118"/>
      <c r="AL88" s="119"/>
      <c r="AM88" s="76" t="s">
        <v>52</v>
      </c>
    </row>
    <row r="89" spans="2:39" ht="15" customHeight="1" x14ac:dyDescent="0.25">
      <c r="B89" s="24"/>
      <c r="C89" s="27" t="s">
        <v>54</v>
      </c>
      <c r="U89" s="15" t="s">
        <v>36</v>
      </c>
      <c r="Y89" s="125">
        <f>($U$13-2*$O$10-2*$J$15-R90*S90)/(R90-1)</f>
        <v>45</v>
      </c>
      <c r="Z89" s="125"/>
      <c r="AA89" s="125"/>
      <c r="AB89" s="25"/>
      <c r="AD89" s="46" t="s">
        <v>37</v>
      </c>
      <c r="AE89" s="46"/>
      <c r="AF89" s="46"/>
      <c r="AG89" s="46"/>
      <c r="AH89" s="47"/>
      <c r="AI89" s="48">
        <f>IF($I$33="","DRB",$I$33/$I$34)</f>
        <v>0.61988365994059758</v>
      </c>
      <c r="AJ89" s="142" t="str">
        <f>IF($I$69="","DRB",$I$69/$I$70)</f>
        <v>DRB</v>
      </c>
      <c r="AK89" s="143"/>
      <c r="AL89" s="144"/>
      <c r="AM89" s="48" t="str">
        <f>IF($I$105="","DRB",$I$105/$I$106)</f>
        <v>DRB</v>
      </c>
    </row>
    <row r="90" spans="2:39" ht="15" customHeight="1" x14ac:dyDescent="0.25">
      <c r="B90" s="24"/>
      <c r="C90" s="49" t="s">
        <v>43</v>
      </c>
      <c r="I90" s="50" t="s">
        <v>0</v>
      </c>
      <c r="J90" s="29" t="s">
        <v>2</v>
      </c>
      <c r="K90" s="83">
        <v>0.9</v>
      </c>
      <c r="L90" s="83"/>
      <c r="R90" s="9">
        <v>3</v>
      </c>
      <c r="S90" s="123">
        <v>20</v>
      </c>
      <c r="T90" s="123"/>
      <c r="U90" s="17"/>
      <c r="V90" s="17"/>
      <c r="W90" s="17"/>
      <c r="X90" s="17"/>
      <c r="Y90" s="17"/>
      <c r="Z90" s="17"/>
      <c r="AA90" s="17"/>
      <c r="AB90" s="25"/>
      <c r="AI90" s="52"/>
      <c r="AJ90" s="52"/>
      <c r="AK90" s="52"/>
      <c r="AL90" s="52"/>
      <c r="AM90" s="52"/>
    </row>
    <row r="91" spans="2:39" ht="15" customHeight="1" x14ac:dyDescent="0.25">
      <c r="B91" s="24"/>
      <c r="C91" s="15" t="s">
        <v>1</v>
      </c>
      <c r="G91" s="82">
        <v>0.75</v>
      </c>
      <c r="H91" s="82"/>
      <c r="M91" s="53"/>
      <c r="N91" s="29" t="s">
        <v>2</v>
      </c>
      <c r="O91" s="82">
        <f>IF($O$9&lt;=28,0.85,0.85-(0.05/7)*($O$9-28))</f>
        <v>0.85</v>
      </c>
      <c r="P91" s="82"/>
      <c r="R91" s="9">
        <v>3</v>
      </c>
      <c r="S91" s="123">
        <v>20</v>
      </c>
      <c r="T91" s="123"/>
      <c r="U91" s="17"/>
      <c r="V91" s="17"/>
      <c r="W91" s="17"/>
      <c r="X91" s="17"/>
      <c r="Y91" s="17"/>
      <c r="Z91" s="17"/>
      <c r="AA91" s="17"/>
      <c r="AB91" s="25"/>
      <c r="AD91" s="17" t="s">
        <v>38</v>
      </c>
      <c r="AI91" s="54"/>
      <c r="AJ91" s="52"/>
      <c r="AK91" s="52"/>
      <c r="AL91" s="52"/>
      <c r="AM91" s="52"/>
    </row>
    <row r="92" spans="2:39" ht="15" customHeight="1" x14ac:dyDescent="0.25">
      <c r="B92" s="24"/>
      <c r="N92" s="18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25"/>
      <c r="AI92" s="45" t="s">
        <v>51</v>
      </c>
      <c r="AJ92" s="117" t="s">
        <v>9</v>
      </c>
      <c r="AK92" s="118"/>
      <c r="AL92" s="119"/>
      <c r="AM92" s="45" t="s">
        <v>52</v>
      </c>
    </row>
    <row r="93" spans="2:39" ht="15" customHeight="1" x14ac:dyDescent="0.25">
      <c r="B93" s="24"/>
      <c r="L93" s="29"/>
      <c r="N93" s="18" t="s">
        <v>2</v>
      </c>
      <c r="O93" s="81">
        <f>0.75*((0.85*($O$9)*(O91)*(600))/($O$13*(600+$O$13)))</f>
        <v>2.0931249999999998E-2</v>
      </c>
      <c r="P93" s="81"/>
      <c r="Q93" s="81"/>
      <c r="R93" s="17"/>
      <c r="S93" s="17"/>
      <c r="T93" s="17"/>
      <c r="U93" s="17"/>
      <c r="V93" s="17"/>
      <c r="W93" s="17"/>
      <c r="X93" s="17"/>
      <c r="Y93" s="17"/>
      <c r="Z93" s="141">
        <f>$U$14</f>
        <v>400</v>
      </c>
      <c r="AA93" s="17"/>
      <c r="AB93" s="25"/>
      <c r="AH93" s="47" t="s">
        <v>39</v>
      </c>
      <c r="AI93" s="48" t="str">
        <f>IF($K$46="n/a","SRB",$K$46/$K$47)</f>
        <v>SRB</v>
      </c>
      <c r="AJ93" s="142">
        <f>IF($K$82="n/a","SRB",$K$82/$K$83)</f>
        <v>4.0335211023992699E-2</v>
      </c>
      <c r="AK93" s="143"/>
      <c r="AL93" s="144"/>
      <c r="AM93" s="48">
        <f>IF($K$118="n/a","SRB",$K$118/$K$119)</f>
        <v>0.74099103357643781</v>
      </c>
    </row>
    <row r="94" spans="2:39" ht="15" customHeight="1" x14ac:dyDescent="0.25">
      <c r="B94" s="24"/>
      <c r="N94" s="18"/>
      <c r="R94" s="17"/>
      <c r="S94" s="17"/>
      <c r="T94" s="17"/>
      <c r="U94" s="17"/>
      <c r="V94" s="17"/>
      <c r="W94" s="17"/>
      <c r="X94" s="17"/>
      <c r="Y94" s="17"/>
      <c r="Z94" s="141"/>
      <c r="AA94" s="17"/>
      <c r="AB94" s="25"/>
      <c r="AH94" s="47" t="s">
        <v>40</v>
      </c>
      <c r="AI94" s="48" t="str">
        <f>IF($O$48="n/a","SRB",$O$48/$K$49)</f>
        <v>SRB</v>
      </c>
      <c r="AJ94" s="142">
        <f>IF($O$84="n/a","SRB",$O$84/$K$85)</f>
        <v>0.9640371040689949</v>
      </c>
      <c r="AK94" s="143"/>
      <c r="AL94" s="144"/>
      <c r="AM94" s="48">
        <f>IF($O$120="n/a","SRB",$O$120/$K$121)</f>
        <v>1.3143650153452173</v>
      </c>
    </row>
    <row r="95" spans="2:39" ht="15" customHeight="1" x14ac:dyDescent="0.25">
      <c r="B95" s="24"/>
      <c r="G95" s="29"/>
      <c r="I95" s="18" t="s">
        <v>2</v>
      </c>
      <c r="J95" s="81">
        <f>$O$21*($O$13/$O$9)</f>
        <v>0.31874999999999998</v>
      </c>
      <c r="K95" s="81"/>
      <c r="L95" s="81"/>
      <c r="M95" s="81"/>
      <c r="N95" s="51" t="s">
        <v>34</v>
      </c>
      <c r="O95" s="91">
        <f>$O$10+$J$15+IF(R98&gt;0,S99,S99/2)</f>
        <v>60</v>
      </c>
      <c r="P95" s="91"/>
      <c r="Q95" s="91"/>
      <c r="R95" s="91"/>
      <c r="S95" s="17"/>
      <c r="T95" s="17"/>
      <c r="U95" s="17"/>
      <c r="V95" s="17"/>
      <c r="W95" s="17"/>
      <c r="X95" s="17"/>
      <c r="Y95" s="17"/>
      <c r="Z95" s="141"/>
      <c r="AA95" s="17"/>
      <c r="AB95" s="25"/>
      <c r="AI95" s="52"/>
      <c r="AJ95" s="52"/>
      <c r="AK95" s="52"/>
      <c r="AL95" s="52"/>
      <c r="AM95" s="52"/>
    </row>
    <row r="96" spans="2:39" ht="15" customHeight="1" x14ac:dyDescent="0.25">
      <c r="B96" s="24"/>
      <c r="N96" s="18" t="s">
        <v>35</v>
      </c>
      <c r="O96" s="90">
        <f>$U$14-$O$10-$J$15-S90/2</f>
        <v>340</v>
      </c>
      <c r="P96" s="90"/>
      <c r="Q96" s="90"/>
      <c r="R96" s="90"/>
      <c r="S96" s="17"/>
      <c r="T96" s="17"/>
      <c r="U96" s="17"/>
      <c r="V96" s="17"/>
      <c r="W96" s="17"/>
      <c r="X96" s="17"/>
      <c r="Y96" s="17"/>
      <c r="Z96" s="141"/>
      <c r="AA96" s="17"/>
      <c r="AB96" s="25"/>
      <c r="AD96" s="17" t="s">
        <v>41</v>
      </c>
      <c r="AH96" s="59"/>
      <c r="AI96" s="48">
        <f>($R$27*(3.1416/4)*$S$27+$R$26*(3.1416/4)*$S$26)/($R$18*(3.1416/4)*$S$18+$R$19*(3.1416/4)*$S$19)</f>
        <v>0.6</v>
      </c>
      <c r="AJ96" s="142">
        <f>($R$54*(3.1416/4)*$S$54+$R$55*(3.1416/4)*$S$55)/($R$63*(3.1416/4)*$S$63+$R$62*(3.1416/4)*$S$62)</f>
        <v>0.5</v>
      </c>
      <c r="AK96" s="143"/>
      <c r="AL96" s="144"/>
      <c r="AM96" s="48">
        <f>($R$99*(3.1416/4)*$S$99+$R$98*(3.1416/4)*$S$98)/($R$90*(3.1416/4)*$S$90+$R$91*(3.1416/4)*$S$91)</f>
        <v>0.5</v>
      </c>
    </row>
    <row r="97" spans="2:34" ht="15" customHeight="1" x14ac:dyDescent="0.25">
      <c r="B97" s="24"/>
      <c r="L97" s="29"/>
      <c r="M97" s="18" t="s">
        <v>2</v>
      </c>
      <c r="N97" s="104">
        <f>ROUNDUP((0.9*$O$9*J95*$U$13*O96^2*(1-0.59*J95))/1000^2,2)</f>
        <v>185.66</v>
      </c>
      <c r="O97" s="104"/>
      <c r="P97" s="104"/>
      <c r="Q97" s="104"/>
      <c r="R97" s="104"/>
      <c r="S97" s="104"/>
      <c r="T97" s="17"/>
      <c r="U97" s="17"/>
      <c r="V97" s="17"/>
      <c r="W97" s="17"/>
      <c r="X97" s="17"/>
      <c r="Y97" s="17"/>
      <c r="Z97" s="141"/>
      <c r="AA97" s="17"/>
      <c r="AB97" s="25"/>
      <c r="AE97" s="122"/>
      <c r="AF97" s="122"/>
    </row>
    <row r="98" spans="2:34" ht="15" customHeight="1" x14ac:dyDescent="0.25">
      <c r="B98" s="24"/>
      <c r="R98" s="9">
        <v>0</v>
      </c>
      <c r="S98" s="123">
        <v>20</v>
      </c>
      <c r="T98" s="123"/>
      <c r="U98" s="17"/>
      <c r="V98" s="17"/>
      <c r="W98" s="17"/>
      <c r="X98" s="17"/>
      <c r="Y98" s="17"/>
      <c r="Z98" s="17"/>
      <c r="AA98" s="17"/>
      <c r="AB98" s="25"/>
      <c r="AE98" s="122"/>
      <c r="AF98" s="122"/>
    </row>
    <row r="99" spans="2:34" ht="15" customHeight="1" x14ac:dyDescent="0.25">
      <c r="B99" s="24"/>
      <c r="D99" s="15" t="str">
        <f>IF(N97&gt;$V$11,"𝑀𝑢𝑚𝑎𝑥 &gt; 𝑀𝑢  (Compression steel not Required)","𝑀𝑢𝑚𝑎𝑥 &lt; 𝑀𝑢  (Compression steel Required)")</f>
        <v>𝑀𝑢𝑚𝑎𝑥 &lt; 𝑀𝑢  (Compression steel Required)</v>
      </c>
      <c r="R99" s="9">
        <v>3</v>
      </c>
      <c r="S99" s="123">
        <v>20</v>
      </c>
      <c r="T99" s="123"/>
      <c r="U99" s="17"/>
      <c r="V99" s="17"/>
      <c r="W99" s="17"/>
      <c r="X99" s="17"/>
      <c r="Y99" s="17"/>
      <c r="Z99" s="17"/>
      <c r="AA99" s="17"/>
      <c r="AB99" s="25"/>
      <c r="AE99" s="122"/>
      <c r="AF99" s="122"/>
    </row>
    <row r="100" spans="2:34" ht="15" customHeight="1" x14ac:dyDescent="0.25">
      <c r="B100" s="24"/>
      <c r="I100" s="15" t="str">
        <f>IF(N97&lt;$V$11,"…proceed to step III","…proceed to step II")</f>
        <v>…proceed to step III</v>
      </c>
      <c r="Q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25"/>
      <c r="AE100" s="122"/>
      <c r="AF100" s="122"/>
    </row>
    <row r="101" spans="2:34" ht="15" customHeight="1" x14ac:dyDescent="0.25">
      <c r="B101" s="24"/>
      <c r="C101" s="15" t="s">
        <v>30</v>
      </c>
      <c r="H101" s="29" t="str">
        <f>IF($N$25&lt;$V$11,"","=")</f>
        <v/>
      </c>
      <c r="I101" s="84" t="str">
        <f>IF(N97&lt;$V$11,"",IF(N97&lt;$V$11,"n/a",$V$11*1000^2/(0.9*$U$13*O96^2)))</f>
        <v/>
      </c>
      <c r="J101" s="84"/>
      <c r="K101" s="84"/>
      <c r="L101" s="84"/>
      <c r="M101" s="15"/>
      <c r="V101" s="122">
        <f>$U$13</f>
        <v>250</v>
      </c>
      <c r="W101" s="122"/>
      <c r="X101" s="122"/>
      <c r="AB101" s="25"/>
      <c r="AD101" s="60" t="str">
        <f>IF(Y89&lt;25,"-increase beam width!!!","")</f>
        <v/>
      </c>
    </row>
    <row r="102" spans="2:34" ht="15" customHeight="1" x14ac:dyDescent="0.25">
      <c r="B102" s="24"/>
      <c r="V102" s="15" t="s">
        <v>36</v>
      </c>
      <c r="Z102" s="125">
        <f>($U$13-2*$O$10-2*$J$15-R99*S99)/(R99-1)</f>
        <v>45</v>
      </c>
      <c r="AA102" s="125"/>
      <c r="AB102" s="126"/>
      <c r="AD102" s="60" t="str">
        <f>IF(Z102&lt;25,"-increase beam width!!!","")</f>
        <v/>
      </c>
    </row>
    <row r="103" spans="2:34" ht="15" customHeight="1" x14ac:dyDescent="0.25">
      <c r="B103" s="24"/>
      <c r="N103" s="61" t="str">
        <f>IF(I101="","","=")</f>
        <v/>
      </c>
      <c r="O103" s="81" t="str">
        <f>IF(I101="","",(0.85*($O$9)/$O$13)*(1-SQRT(1-(2*I101)/(0.85*$O$9))))</f>
        <v/>
      </c>
      <c r="P103" s="81"/>
      <c r="Q103" s="81"/>
      <c r="R103" s="15" t="str">
        <f>IF(I101="","",IF(O103&gt;V103,"&gt;","&lt;"))</f>
        <v/>
      </c>
      <c r="U103" s="61" t="s">
        <v>2</v>
      </c>
      <c r="V103" s="81">
        <f>1.4/$O$13</f>
        <v>3.3333333333333331E-3</v>
      </c>
      <c r="W103" s="81"/>
      <c r="X103" s="81"/>
      <c r="AB103" s="25"/>
      <c r="AD103" s="62" t="str">
        <f>IF(I101="","",IF(R103="&gt;","","...exceeds ρmin!!!"))</f>
        <v/>
      </c>
    </row>
    <row r="104" spans="2:34" ht="15" customHeight="1" x14ac:dyDescent="0.25">
      <c r="B104" s="24"/>
      <c r="AB104" s="25"/>
    </row>
    <row r="105" spans="2:34" ht="15" customHeight="1" x14ac:dyDescent="0.25">
      <c r="B105" s="24"/>
      <c r="D105" s="15" t="str">
        <f>IF(N97&lt;$V$11,"","𝐴𝑠 required  =")</f>
        <v/>
      </c>
      <c r="G105" s="63"/>
      <c r="I105" s="88" t="str">
        <f>IF(O103="","",IF(O103&gt;V103,O103*$U$13*O96,V103*$U$13*O96))</f>
        <v/>
      </c>
      <c r="J105" s="88"/>
      <c r="K105" s="88"/>
      <c r="L105" s="88"/>
      <c r="M105" s="88"/>
      <c r="N105" s="88"/>
      <c r="R105" s="49" t="s">
        <v>44</v>
      </c>
      <c r="V105" s="50" t="s">
        <v>0</v>
      </c>
      <c r="W105" s="29" t="s">
        <v>2</v>
      </c>
      <c r="X105" s="83">
        <v>0.85</v>
      </c>
      <c r="Y105" s="83"/>
      <c r="AB105" s="25"/>
    </row>
    <row r="106" spans="2:34" ht="15" customHeight="1" x14ac:dyDescent="0.25">
      <c r="B106" s="24"/>
      <c r="D106" s="15" t="str">
        <f>IF($N$25&lt;$V$11,"","𝐴𝑠 provided  =")</f>
        <v/>
      </c>
      <c r="I106" s="88" t="str">
        <f>IF(N97&lt;$V$11,"",(R90*(3.1416/4)*(S90)^2)+(R91*(3.1416/4)*(S91)^2))</f>
        <v/>
      </c>
      <c r="J106" s="88"/>
      <c r="K106" s="88"/>
      <c r="L106" s="88"/>
      <c r="M106" s="88"/>
      <c r="N106" s="92" t="str">
        <f>IF(N97&lt;$V$11,"",IF(I106&gt;I105,"OK","NG"))</f>
        <v/>
      </c>
      <c r="O106" s="92"/>
      <c r="AB106" s="25"/>
      <c r="AD106" s="65" t="s">
        <v>49</v>
      </c>
    </row>
    <row r="107" spans="2:34" ht="15" customHeight="1" x14ac:dyDescent="3.5">
      <c r="B107" s="24"/>
      <c r="E107" s="66" t="s">
        <v>29</v>
      </c>
      <c r="W107" s="29" t="s">
        <v>2</v>
      </c>
      <c r="X107" s="124">
        <f>(X105*(1/6)*(SQRT($O$9))*$U$13*O96)/1000</f>
        <v>63.23881625982925</v>
      </c>
      <c r="Y107" s="124"/>
      <c r="Z107" s="124"/>
      <c r="AB107" s="25"/>
      <c r="AD107" s="46" t="s">
        <v>45</v>
      </c>
      <c r="AE107" s="67" t="s">
        <v>2</v>
      </c>
      <c r="AF107" s="47">
        <f>IF(X111&lt;=((1/3)*SQRT($O$9)*$U$13*O96)/1000,O96/2)</f>
        <v>170</v>
      </c>
      <c r="AG107" s="68" t="s">
        <v>47</v>
      </c>
      <c r="AH107" s="47">
        <v>300</v>
      </c>
    </row>
    <row r="108" spans="2:34" ht="15" customHeight="1" x14ac:dyDescent="0.25">
      <c r="B108" s="24"/>
      <c r="C108" s="15" t="s">
        <v>31</v>
      </c>
      <c r="I108" s="29" t="s">
        <v>2</v>
      </c>
      <c r="J108" s="88">
        <f>IF(N97&gt;$V$11,"n/a",O93*$U$13*O96)</f>
        <v>1779.1562499999998</v>
      </c>
      <c r="K108" s="88"/>
      <c r="L108" s="88"/>
      <c r="M108" s="88"/>
      <c r="N108" s="88"/>
      <c r="AB108" s="25"/>
      <c r="AD108" s="46" t="s">
        <v>46</v>
      </c>
      <c r="AE108" s="67" t="s">
        <v>2</v>
      </c>
      <c r="AF108" s="47" t="b">
        <f>IF(X111="N/C","",IF(X111&gt;((1/3)*SQRT($O$9)*$U$13*O96)/1000,O96/4))</f>
        <v>0</v>
      </c>
      <c r="AG108" s="68" t="s">
        <v>47</v>
      </c>
      <c r="AH108" s="47">
        <v>200</v>
      </c>
    </row>
    <row r="109" spans="2:34" ht="15" customHeight="1" x14ac:dyDescent="0.25">
      <c r="B109" s="24"/>
      <c r="K109" s="18" t="s">
        <v>32</v>
      </c>
      <c r="L109" s="29" t="s">
        <v>2</v>
      </c>
      <c r="M109" s="90">
        <f>IF(J108="n/a","n/a",(J108*$O$13)/(0.85*$O$9*$U$13))</f>
        <v>127.5</v>
      </c>
      <c r="N109" s="90"/>
      <c r="O109" s="90"/>
      <c r="P109" s="90"/>
      <c r="U109" s="18" t="str">
        <f>IF(X107&lt;Y11,"&lt;","&gt;")</f>
        <v>&lt;</v>
      </c>
      <c r="W109" s="18" t="str">
        <f>IF(Y11&gt;0.5*X107,"&gt;","&lt;")</f>
        <v>&gt;</v>
      </c>
      <c r="AB109" s="25"/>
      <c r="AD109" s="46" t="s">
        <v>48</v>
      </c>
      <c r="AE109" s="67" t="s">
        <v>2</v>
      </c>
      <c r="AF109" s="47" t="b">
        <f>IF(U109="&gt;",IF(W109="&gt;",O96/2))</f>
        <v>0</v>
      </c>
      <c r="AG109" s="68" t="s">
        <v>47</v>
      </c>
      <c r="AH109" s="47">
        <v>300</v>
      </c>
    </row>
    <row r="110" spans="2:34" ht="15" customHeight="1" x14ac:dyDescent="0.25">
      <c r="B110" s="24"/>
      <c r="K110" s="18" t="s">
        <v>33</v>
      </c>
      <c r="L110" s="29" t="s">
        <v>2</v>
      </c>
      <c r="M110" s="91">
        <f>IF(M109="n/a","n/a",M109/O91)</f>
        <v>150</v>
      </c>
      <c r="N110" s="91"/>
      <c r="O110" s="91"/>
      <c r="P110" s="91"/>
      <c r="U110" s="16"/>
      <c r="AB110" s="25"/>
    </row>
    <row r="111" spans="2:34" ht="15" customHeight="1" x14ac:dyDescent="0.25">
      <c r="B111" s="24"/>
      <c r="J111" s="29"/>
      <c r="K111" s="29" t="s">
        <v>2</v>
      </c>
      <c r="L111" s="89">
        <f>IF(J108="n/a","n/a",(0.9*J108*$O$13*(O96-(M109/2)))/1000^2)</f>
        <v>185.783943515625</v>
      </c>
      <c r="M111" s="89"/>
      <c r="N111" s="89"/>
      <c r="O111" s="89"/>
      <c r="P111" s="89"/>
      <c r="W111" s="29" t="s">
        <v>2</v>
      </c>
      <c r="X111" s="124">
        <f>IF(X107&gt;$Y$11,"N/C",($Y$11/X105)-(X107/X105))</f>
        <v>60.589627929612661</v>
      </c>
      <c r="Y111" s="124"/>
      <c r="Z111" s="124"/>
      <c r="AB111" s="25"/>
      <c r="AD111" s="69" t="str">
        <f>IF($X$39&gt;(2/3)*SQRT($O$9)*$U$13*$O$24,"…increase size of beam!!!","")</f>
        <v/>
      </c>
    </row>
    <row r="112" spans="2:34" ht="15" customHeight="1" x14ac:dyDescent="0.25">
      <c r="B112" s="24"/>
      <c r="K112" s="29" t="s">
        <v>2</v>
      </c>
      <c r="L112" s="89">
        <f>IF(L111="n/a","n/a",$V$11-L111)</f>
        <v>63.356056484374989</v>
      </c>
      <c r="M112" s="89"/>
      <c r="N112" s="89"/>
      <c r="O112" s="89"/>
      <c r="AB112" s="25"/>
    </row>
    <row r="113" spans="2:28" ht="15" customHeight="1" x14ac:dyDescent="0.25">
      <c r="B113" s="24"/>
      <c r="AB113" s="25"/>
    </row>
    <row r="114" spans="2:28" ht="15" customHeight="1" x14ac:dyDescent="0.25">
      <c r="B114" s="24"/>
      <c r="K114" s="29" t="s">
        <v>2</v>
      </c>
      <c r="L114" s="88">
        <f>IF(L112="n/a","n/a",(L112*1000^2)/(0.9*$O$13*(O96-O95)))</f>
        <v>598.60219656438949</v>
      </c>
      <c r="M114" s="88"/>
      <c r="N114" s="88"/>
      <c r="O114" s="88"/>
      <c r="P114" s="88"/>
      <c r="Q114" s="88"/>
      <c r="AB114" s="25"/>
    </row>
    <row r="115" spans="2:28" ht="15" customHeight="1" x14ac:dyDescent="0.25">
      <c r="B115" s="24"/>
      <c r="K115" s="29" t="s">
        <v>2</v>
      </c>
      <c r="L115" s="84">
        <f>IF(J108="n/a","n/a",600*(M110-O95)/M110)</f>
        <v>360</v>
      </c>
      <c r="M115" s="84"/>
      <c r="N115" s="84"/>
      <c r="O115" s="84"/>
      <c r="W115" s="29" t="s">
        <v>2</v>
      </c>
      <c r="X115" s="91">
        <f>IF(X107&gt;$Y$9,"Use Smax",(2*(3.1416/4)*($J$15)^2*$O$14*O96)/(X111*1000))</f>
        <v>246.8081833638617</v>
      </c>
      <c r="Y115" s="91"/>
      <c r="Z115" s="91"/>
      <c r="AA115" s="91"/>
      <c r="AB115" s="25"/>
    </row>
    <row r="116" spans="2:28" ht="15" customHeight="1" x14ac:dyDescent="0.25">
      <c r="B116" s="24"/>
      <c r="F116" s="15" t="str">
        <f>IF(J108="n/a","",IF(L115&gt;$O$13,"f's &gt; fy (Compression steel yields)","f's &lt; fy (Compression steel will not yield)"))</f>
        <v>f's &lt; fy (Compression steel will not yield)</v>
      </c>
      <c r="AB116" s="25"/>
    </row>
    <row r="117" spans="2:28" ht="15" customHeight="1" x14ac:dyDescent="0.25">
      <c r="B117" s="24"/>
      <c r="D117" s="15" t="str">
        <f>IF(L115&lt;$O$13,"  For compression steel that does not yield:","For compression steel that yields:")</f>
        <v xml:space="preserve">  For compression steel that does not yield:</v>
      </c>
      <c r="X117" s="145">
        <f>IF(AF109=FALSE,MIN(AF107,AF108,AH107,AH108),MIN(AF109,AH109))</f>
        <v>170</v>
      </c>
      <c r="Y117" s="145"/>
      <c r="Z117" s="145"/>
      <c r="AB117" s="25"/>
    </row>
    <row r="118" spans="2:28" ht="15" customHeight="1" x14ac:dyDescent="0.25">
      <c r="B118" s="24"/>
      <c r="E118" s="15" t="str">
        <f>IF(L115&gt;$O$13,"A's = As2","A's = As2fy/f's")</f>
        <v>A's = As2fy/f's</v>
      </c>
      <c r="G118" s="29"/>
      <c r="J118" s="29" t="s">
        <v>2</v>
      </c>
      <c r="K118" s="88">
        <f>IF(L115&lt;$O$13,L114*$O$13/L115,L114)</f>
        <v>698.36922932512107</v>
      </c>
      <c r="L118" s="88"/>
      <c r="M118" s="88"/>
      <c r="N118" s="88"/>
      <c r="O118" s="88"/>
      <c r="S118" s="64"/>
      <c r="AB118" s="25"/>
    </row>
    <row r="119" spans="2:28" ht="15" customHeight="1" x14ac:dyDescent="0.25">
      <c r="B119" s="24"/>
      <c r="F119" s="15" t="str">
        <f>"A's provided"</f>
        <v>A's provided</v>
      </c>
      <c r="G119" s="29"/>
      <c r="J119" s="29" t="s">
        <v>2</v>
      </c>
      <c r="K119" s="88">
        <f>IF(K118="n/a","n/a",IF(N97&gt;$V$11,"",(R99*(3.1416/4)*(S99)^2)+(R98*(3.1416/4)*(S98)^2)))</f>
        <v>942.4799999999999</v>
      </c>
      <c r="L119" s="88"/>
      <c r="M119" s="88"/>
      <c r="N119" s="88"/>
      <c r="O119" s="88"/>
      <c r="P119" s="88"/>
      <c r="Q119" s="27" t="str">
        <f>IF(N97&gt;$V$11,"",IF(K119&gt;K118,"OK","NG"))</f>
        <v>OK</v>
      </c>
      <c r="S119" s="64"/>
      <c r="T119" s="15" t="s">
        <v>50</v>
      </c>
      <c r="U119" s="121">
        <f>$J$15</f>
        <v>10</v>
      </c>
      <c r="V119" s="121"/>
      <c r="W119" s="121"/>
      <c r="X119" s="127">
        <f>FLOOR(MIN(X115,X117),25)</f>
        <v>150</v>
      </c>
      <c r="Y119" s="127"/>
      <c r="Z119" s="127"/>
      <c r="AA119" s="127"/>
      <c r="AB119" s="25"/>
    </row>
    <row r="120" spans="2:28" ht="15" customHeight="1" x14ac:dyDescent="0.25">
      <c r="B120" s="24"/>
      <c r="J120" s="29" t="s">
        <v>2</v>
      </c>
      <c r="K120" s="18"/>
      <c r="L120" s="18"/>
      <c r="M120" s="18"/>
      <c r="O120" s="86">
        <f>IF(K118="n/a","n/a",J108+K118)</f>
        <v>2477.5254793251206</v>
      </c>
      <c r="P120" s="86"/>
      <c r="Q120" s="86"/>
      <c r="R120" s="86"/>
      <c r="S120" s="70"/>
      <c r="AB120" s="25"/>
    </row>
    <row r="121" spans="2:28" ht="15" customHeight="1" thickBot="1" x14ac:dyDescent="0.3">
      <c r="B121" s="32"/>
      <c r="C121" s="33"/>
      <c r="D121" s="33"/>
      <c r="E121" s="33"/>
      <c r="F121" s="33"/>
      <c r="G121" s="33"/>
      <c r="H121" s="33"/>
      <c r="I121" s="33"/>
      <c r="J121" s="71" t="s">
        <v>2</v>
      </c>
      <c r="K121" s="87">
        <f>IF(K118="n/a","n/a",IF(N97&gt;$V$11,"",(R90*(3.1416/4)*(S90)^2)+(R91*(3.1416/4)*(S91)^2)))</f>
        <v>1884.9599999999998</v>
      </c>
      <c r="L121" s="87"/>
      <c r="M121" s="87"/>
      <c r="N121" s="87"/>
      <c r="O121" s="87"/>
      <c r="P121" s="87"/>
      <c r="Q121" s="77" t="str">
        <f>IF(N97&gt;$V$11,"",IF(K121&gt;O120,"OK","NG"))</f>
        <v>NG</v>
      </c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8"/>
    </row>
    <row r="122" spans="2:28" ht="15" customHeight="1" thickTop="1" x14ac:dyDescent="0.25"/>
  </sheetData>
  <sheetProtection algorithmName="SHA-512" hashValue="hY9LoZs9wbbz5dTchpHGOtfyTynG4iWcd7cjsv6omAJ1R16t+BWatg9TPsdTTvZfivySM4cOxUJYizaUOiNPVQ==" saltValue="PjiNR1l398j5YnVJs0omyw==" spinCount="100000" sheet="1" objects="1" scenarios="1"/>
  <mergeCells count="179">
    <mergeCell ref="Y53:AA53"/>
    <mergeCell ref="X45:Z45"/>
    <mergeCell ref="X35:Z35"/>
    <mergeCell ref="S26:T26"/>
    <mergeCell ref="Y10:AA10"/>
    <mergeCell ref="S27:T27"/>
    <mergeCell ref="Z21:Z25"/>
    <mergeCell ref="V29:X29"/>
    <mergeCell ref="S10:U10"/>
    <mergeCell ref="S11:U11"/>
    <mergeCell ref="AJ56:AL56"/>
    <mergeCell ref="AJ92:AL92"/>
    <mergeCell ref="S90:T90"/>
    <mergeCell ref="AJ60:AL60"/>
    <mergeCell ref="AJ88:AL88"/>
    <mergeCell ref="AJ89:AL89"/>
    <mergeCell ref="AJ93:AL93"/>
    <mergeCell ref="AJ94:AL94"/>
    <mergeCell ref="S63:T63"/>
    <mergeCell ref="X83:AA83"/>
    <mergeCell ref="X79:AA79"/>
    <mergeCell ref="X81:Z81"/>
    <mergeCell ref="AJ96:AL96"/>
    <mergeCell ref="AE63:AF63"/>
    <mergeCell ref="AE64:AF64"/>
    <mergeCell ref="AE61:AF61"/>
    <mergeCell ref="AE62:AF62"/>
    <mergeCell ref="K121:P121"/>
    <mergeCell ref="AJ16:AL16"/>
    <mergeCell ref="AJ17:AL17"/>
    <mergeCell ref="AJ21:AL21"/>
    <mergeCell ref="AJ22:AL22"/>
    <mergeCell ref="AJ24:AL24"/>
    <mergeCell ref="AJ52:AL52"/>
    <mergeCell ref="AJ53:AL53"/>
    <mergeCell ref="AJ57:AL57"/>
    <mergeCell ref="AJ58:AL58"/>
    <mergeCell ref="X117:Z117"/>
    <mergeCell ref="K118:O118"/>
    <mergeCell ref="K119:P119"/>
    <mergeCell ref="U119:W119"/>
    <mergeCell ref="X119:AA119"/>
    <mergeCell ref="O120:R120"/>
    <mergeCell ref="I105:N105"/>
    <mergeCell ref="V65:X65"/>
    <mergeCell ref="Z66:AB66"/>
    <mergeCell ref="G91:H91"/>
    <mergeCell ref="O91:P91"/>
    <mergeCell ref="O93:Q93"/>
    <mergeCell ref="Z93:Z97"/>
    <mergeCell ref="J95:M95"/>
    <mergeCell ref="O95:R95"/>
    <mergeCell ref="N97:S97"/>
    <mergeCell ref="Y89:AA89"/>
    <mergeCell ref="K90:L90"/>
    <mergeCell ref="S54:T54"/>
    <mergeCell ref="N70:O70"/>
    <mergeCell ref="X71:Z71"/>
    <mergeCell ref="J72:N72"/>
    <mergeCell ref="M73:P73"/>
    <mergeCell ref="L75:P75"/>
    <mergeCell ref="X75:Z75"/>
    <mergeCell ref="O60:R60"/>
    <mergeCell ref="S55:T55"/>
    <mergeCell ref="M74:P74"/>
    <mergeCell ref="I69:N69"/>
    <mergeCell ref="I70:M70"/>
    <mergeCell ref="O67:Q67"/>
    <mergeCell ref="V67:X67"/>
    <mergeCell ref="I65:L65"/>
    <mergeCell ref="X69:Y69"/>
    <mergeCell ref="O57:Q57"/>
    <mergeCell ref="Z57:Z61"/>
    <mergeCell ref="J59:M59"/>
    <mergeCell ref="O59:R59"/>
    <mergeCell ref="N61:S61"/>
    <mergeCell ref="S62:T62"/>
    <mergeCell ref="AJ2:AL2"/>
    <mergeCell ref="AJ8:AL8"/>
    <mergeCell ref="U47:W47"/>
    <mergeCell ref="X47:AA47"/>
    <mergeCell ref="X43:AA43"/>
    <mergeCell ref="Y17:AA17"/>
    <mergeCell ref="Z30:AB30"/>
    <mergeCell ref="X39:Z39"/>
    <mergeCell ref="AE25:AF25"/>
    <mergeCell ref="AG26:AH26"/>
    <mergeCell ref="AE27:AF27"/>
    <mergeCell ref="AE28:AF28"/>
    <mergeCell ref="Y11:AA11"/>
    <mergeCell ref="V8:X8"/>
    <mergeCell ref="AD10:AM10"/>
    <mergeCell ref="B2:AB2"/>
    <mergeCell ref="S13:T13"/>
    <mergeCell ref="S18:T18"/>
    <mergeCell ref="S19:T19"/>
    <mergeCell ref="O23:R23"/>
    <mergeCell ref="V9:X9"/>
    <mergeCell ref="Y9:AA9"/>
    <mergeCell ref="V31:X31"/>
    <mergeCell ref="R3:AB3"/>
    <mergeCell ref="L115:O115"/>
    <mergeCell ref="L112:O112"/>
    <mergeCell ref="L114:Q114"/>
    <mergeCell ref="X115:AA115"/>
    <mergeCell ref="AE97:AF97"/>
    <mergeCell ref="AE98:AF98"/>
    <mergeCell ref="AE99:AF99"/>
    <mergeCell ref="AE100:AF100"/>
    <mergeCell ref="S91:T91"/>
    <mergeCell ref="L111:P111"/>
    <mergeCell ref="X111:Z111"/>
    <mergeCell ref="S99:T99"/>
    <mergeCell ref="X107:Z107"/>
    <mergeCell ref="S98:T98"/>
    <mergeCell ref="V101:X101"/>
    <mergeCell ref="Z102:AB102"/>
    <mergeCell ref="V103:X103"/>
    <mergeCell ref="X105:Y105"/>
    <mergeCell ref="J108:N108"/>
    <mergeCell ref="O103:Q103"/>
    <mergeCell ref="M110:P110"/>
    <mergeCell ref="M109:P109"/>
    <mergeCell ref="O96:R96"/>
    <mergeCell ref="I101:L101"/>
    <mergeCell ref="L78:Q78"/>
    <mergeCell ref="L79:O79"/>
    <mergeCell ref="K85:P85"/>
    <mergeCell ref="O84:S84"/>
    <mergeCell ref="K82:O82"/>
    <mergeCell ref="K83:P83"/>
    <mergeCell ref="I106:M106"/>
    <mergeCell ref="N106:O106"/>
    <mergeCell ref="U83:W83"/>
    <mergeCell ref="L76:O76"/>
    <mergeCell ref="AS37:AZ43"/>
    <mergeCell ref="AS44:AZ44"/>
    <mergeCell ref="X33:Y33"/>
    <mergeCell ref="O14:P14"/>
    <mergeCell ref="U14:V14"/>
    <mergeCell ref="N25:S25"/>
    <mergeCell ref="G19:H19"/>
    <mergeCell ref="O8:P8"/>
    <mergeCell ref="O9:P9"/>
    <mergeCell ref="O10:P10"/>
    <mergeCell ref="O13:P13"/>
    <mergeCell ref="U13:V13"/>
    <mergeCell ref="V10:X10"/>
    <mergeCell ref="V11:X11"/>
    <mergeCell ref="O19:P19"/>
    <mergeCell ref="J23:M23"/>
    <mergeCell ref="S8:U8"/>
    <mergeCell ref="S9:U9"/>
    <mergeCell ref="Y8:AA8"/>
    <mergeCell ref="AJ20:AL20"/>
    <mergeCell ref="AJ11:AL11"/>
    <mergeCell ref="I33:N33"/>
    <mergeCell ref="O24:R24"/>
    <mergeCell ref="O21:Q21"/>
    <mergeCell ref="G55:H55"/>
    <mergeCell ref="O55:P55"/>
    <mergeCell ref="K18:L18"/>
    <mergeCell ref="I29:M29"/>
    <mergeCell ref="K5:L5"/>
    <mergeCell ref="O48:R48"/>
    <mergeCell ref="K49:P49"/>
    <mergeCell ref="I34:M34"/>
    <mergeCell ref="J36:N36"/>
    <mergeCell ref="L42:Q42"/>
    <mergeCell ref="L43:O43"/>
    <mergeCell ref="L40:O40"/>
    <mergeCell ref="L39:P39"/>
    <mergeCell ref="M37:P37"/>
    <mergeCell ref="M38:P38"/>
    <mergeCell ref="K47:P47"/>
    <mergeCell ref="N34:O34"/>
    <mergeCell ref="K46:O46"/>
    <mergeCell ref="O31:Q31"/>
    <mergeCell ref="K54:L54"/>
  </mergeCells>
  <conditionalFormatting sqref="N34:O34">
    <cfRule type="containsText" dxfId="29" priority="29" operator="containsText" text="NG">
      <formula>NOT(ISERROR(SEARCH("NG",N34)))</formula>
    </cfRule>
  </conditionalFormatting>
  <conditionalFormatting sqref="N70:O70">
    <cfRule type="containsText" dxfId="28" priority="26" operator="containsText" text="NG">
      <formula>NOT(ISERROR(SEARCH("NG",N70)))</formula>
    </cfRule>
  </conditionalFormatting>
  <conditionalFormatting sqref="N106:O106">
    <cfRule type="containsText" dxfId="27" priority="25" operator="containsText" text="NG">
      <formula>NOT(ISERROR(SEARCH("NG",N106)))</formula>
    </cfRule>
  </conditionalFormatting>
  <conditionalFormatting sqref="Q47">
    <cfRule type="containsText" dxfId="26" priority="34" operator="containsText" text="NG">
      <formula>NOT(ISERROR(SEARCH("NG",Q47)))</formula>
    </cfRule>
  </conditionalFormatting>
  <conditionalFormatting sqref="Q49">
    <cfRule type="containsText" dxfId="25" priority="35" operator="containsText" text="NG">
      <formula>NOT(ISERROR(SEARCH("NG",Q49)))</formula>
    </cfRule>
  </conditionalFormatting>
  <conditionalFormatting sqref="Q83">
    <cfRule type="containsText" dxfId="24" priority="33" operator="containsText" text="NG">
      <formula>NOT(ISERROR(SEARCH("NG",Q83)))</formula>
    </cfRule>
  </conditionalFormatting>
  <conditionalFormatting sqref="Q85">
    <cfRule type="containsText" dxfId="23" priority="32" operator="containsText" text="NG">
      <formula>NOT(ISERROR(SEARCH("NG",Q85)))</formula>
    </cfRule>
  </conditionalFormatting>
  <conditionalFormatting sqref="Q119">
    <cfRule type="containsText" dxfId="22" priority="31" operator="containsText" text="NG">
      <formula>NOT(ISERROR(SEARCH("NG",Q119)))</formula>
    </cfRule>
  </conditionalFormatting>
  <conditionalFormatting sqref="Q121">
    <cfRule type="containsText" dxfId="21" priority="30" operator="containsText" text="NG">
      <formula>NOT(ISERROR(SEARCH("NG",Q121)))</formula>
    </cfRule>
  </conditionalFormatting>
  <conditionalFormatting sqref="X47:AA47">
    <cfRule type="cellIs" dxfId="20" priority="36" operator="lessThan">
      <formula>50</formula>
    </cfRule>
  </conditionalFormatting>
  <conditionalFormatting sqref="X83:AA83">
    <cfRule type="cellIs" dxfId="19" priority="37" operator="lessThan">
      <formula>50</formula>
    </cfRule>
  </conditionalFormatting>
  <conditionalFormatting sqref="X119:AA119">
    <cfRule type="cellIs" dxfId="18" priority="38" operator="lessThan">
      <formula>50</formula>
    </cfRule>
  </conditionalFormatting>
  <conditionalFormatting sqref="Y17:AA17">
    <cfRule type="cellIs" dxfId="17" priority="44" operator="lessThan">
      <formula>25</formula>
    </cfRule>
  </conditionalFormatting>
  <conditionalFormatting sqref="Y53:AA53">
    <cfRule type="cellIs" dxfId="16" priority="42" operator="lessThan">
      <formula>25</formula>
    </cfRule>
  </conditionalFormatting>
  <conditionalFormatting sqref="Y89:AA89">
    <cfRule type="cellIs" dxfId="15" priority="40" operator="lessThan">
      <formula>25</formula>
    </cfRule>
  </conditionalFormatting>
  <conditionalFormatting sqref="Z30:AB30">
    <cfRule type="cellIs" dxfId="14" priority="43" operator="lessThan">
      <formula>25</formula>
    </cfRule>
  </conditionalFormatting>
  <conditionalFormatting sqref="Z66:AB66">
    <cfRule type="cellIs" dxfId="13" priority="41" operator="lessThan">
      <formula>25</formula>
    </cfRule>
  </conditionalFormatting>
  <conditionalFormatting sqref="Z102:AB102">
    <cfRule type="cellIs" dxfId="12" priority="39" operator="lessThan">
      <formula>25</formula>
    </cfRule>
  </conditionalFormatting>
  <conditionalFormatting sqref="AI8">
    <cfRule type="cellIs" dxfId="11" priority="16" operator="greaterThan">
      <formula>0.98</formula>
    </cfRule>
  </conditionalFormatting>
  <conditionalFormatting sqref="AI17:AI19 AI21:AI22">
    <cfRule type="cellIs" dxfId="10" priority="12" operator="greaterThan">
      <formula>0.98</formula>
    </cfRule>
  </conditionalFormatting>
  <conditionalFormatting sqref="AI53:AI55 AI57:AI58">
    <cfRule type="cellIs" dxfId="9" priority="8" operator="greaterThan">
      <formula>0.98</formula>
    </cfRule>
  </conditionalFormatting>
  <conditionalFormatting sqref="AI89:AI91 AI93:AI94">
    <cfRule type="cellIs" dxfId="8" priority="4" operator="greaterThan">
      <formula>0.98</formula>
    </cfRule>
  </conditionalFormatting>
  <conditionalFormatting sqref="AI8:AM9">
    <cfRule type="cellIs" dxfId="7" priority="13" operator="greaterThan">
      <formula>0.95</formula>
    </cfRule>
    <cfRule type="cellIs" dxfId="6" priority="14" operator="greaterThan">
      <formula>95</formula>
    </cfRule>
  </conditionalFormatting>
  <conditionalFormatting sqref="AI17:AM19 AI21:AM23">
    <cfRule type="cellIs" dxfId="5" priority="9" operator="greaterThan">
      <formula>0.95</formula>
    </cfRule>
    <cfRule type="cellIs" dxfId="4" priority="10" operator="greaterThan">
      <formula>95</formula>
    </cfRule>
  </conditionalFormatting>
  <conditionalFormatting sqref="AI53:AM55 AI57:AM59">
    <cfRule type="cellIs" dxfId="3" priority="5" operator="greaterThan">
      <formula>0.95</formula>
    </cfRule>
    <cfRule type="cellIs" dxfId="2" priority="6" operator="greaterThan">
      <formula>95</formula>
    </cfRule>
  </conditionalFormatting>
  <conditionalFormatting sqref="AI89:AM91 AI93:AM95">
    <cfRule type="cellIs" dxfId="1" priority="1" operator="greaterThan">
      <formula>0.95</formula>
    </cfRule>
    <cfRule type="cellIs" dxfId="0" priority="2" operator="greaterThan">
      <formula>95</formula>
    </cfRule>
  </conditionalFormatting>
  <hyperlinks>
    <hyperlink ref="AS44" r:id="rId1" xr:uid="{F0659D11-88B3-7847-B3C9-CE52801C26C3}"/>
    <hyperlink ref="R3:AB3" location="'Editable Copy'!A1" display="By: JMVC Consulting Structural Engineers" xr:uid="{0569B0D6-3711-8440-BDEB-888A57A6EC3F}"/>
  </hyperlinks>
  <printOptions horizontalCentered="1" verticalCentered="1"/>
  <pageMargins left="0.2" right="0.2" top="0.2" bottom="0.2" header="0.2" footer="0.2"/>
  <pageSetup fitToHeight="0" orientation="portrait" r:id="rId2"/>
  <rowBreaks count="2" manualBreakCount="2">
    <brk id="50" max="28" man="1"/>
    <brk id="86" max="28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F5E07-5841-4B5B-B465-BD61B3978380}">
  <dimension ref="A1:A21"/>
  <sheetViews>
    <sheetView workbookViewId="0">
      <selection sqref="A1:A7"/>
    </sheetView>
  </sheetViews>
  <sheetFormatPr defaultColWidth="8.85546875" defaultRowHeight="15" x14ac:dyDescent="0.25"/>
  <cols>
    <col min="1" max="1" width="96.28515625" bestFit="1" customWidth="1"/>
  </cols>
  <sheetData>
    <row r="1" spans="1:1" ht="21" x14ac:dyDescent="0.35">
      <c r="A1" s="11" t="s">
        <v>140</v>
      </c>
    </row>
    <row r="2" spans="1:1" ht="16.5" x14ac:dyDescent="0.25">
      <c r="A2" s="10" t="s">
        <v>123</v>
      </c>
    </row>
    <row r="3" spans="1:1" ht="16.5" x14ac:dyDescent="0.25">
      <c r="A3" s="10" t="s">
        <v>124</v>
      </c>
    </row>
    <row r="4" spans="1:1" ht="16.5" x14ac:dyDescent="0.25">
      <c r="A4" s="10" t="s">
        <v>125</v>
      </c>
    </row>
    <row r="5" spans="1:1" ht="16.5" x14ac:dyDescent="0.25">
      <c r="A5" s="10" t="s">
        <v>126</v>
      </c>
    </row>
    <row r="6" spans="1:1" ht="16.5" x14ac:dyDescent="0.25">
      <c r="A6" s="10" t="s">
        <v>127</v>
      </c>
    </row>
    <row r="7" spans="1:1" ht="16.5" x14ac:dyDescent="0.25">
      <c r="A7" s="10" t="s">
        <v>128</v>
      </c>
    </row>
    <row r="9" spans="1:1" ht="21" x14ac:dyDescent="0.25">
      <c r="A9" s="13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7" spans="1:1" ht="21" x14ac:dyDescent="0.35">
      <c r="A17" s="11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ht="16.5" x14ac:dyDescent="0.25">
      <c r="A21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52"/>
  <sheetViews>
    <sheetView workbookViewId="0">
      <pane ySplit="2" topLeftCell="A3" activePane="bottomLeft" state="frozen"/>
      <selection pane="bottomLeft" activeCell="J32" sqref="J32"/>
    </sheetView>
  </sheetViews>
  <sheetFormatPr defaultColWidth="8.85546875" defaultRowHeight="15" x14ac:dyDescent="0.25"/>
  <cols>
    <col min="1" max="2" width="9.140625" style="1"/>
    <col min="3" max="3" width="9.140625" style="1" customWidth="1"/>
    <col min="4" max="7" width="9.140625" style="1"/>
  </cols>
  <sheetData>
    <row r="1" spans="1:15" x14ac:dyDescent="0.25">
      <c r="A1" s="152" t="s">
        <v>60</v>
      </c>
      <c r="B1" s="153" t="s">
        <v>59</v>
      </c>
      <c r="C1" s="153"/>
      <c r="D1" s="153" t="s">
        <v>61</v>
      </c>
      <c r="E1" s="153"/>
      <c r="F1" s="153" t="s">
        <v>62</v>
      </c>
      <c r="G1" s="153"/>
      <c r="I1" s="152" t="s">
        <v>60</v>
      </c>
      <c r="J1" s="153" t="s">
        <v>59</v>
      </c>
      <c r="K1" s="153"/>
      <c r="L1" s="153" t="s">
        <v>61</v>
      </c>
      <c r="M1" s="153"/>
      <c r="N1" s="153" t="s">
        <v>62</v>
      </c>
      <c r="O1" s="153"/>
    </row>
    <row r="2" spans="1:15" x14ac:dyDescent="0.25">
      <c r="A2" s="152"/>
      <c r="B2" s="2" t="s">
        <v>57</v>
      </c>
      <c r="C2" s="2" t="s">
        <v>58</v>
      </c>
      <c r="D2" s="2" t="s">
        <v>57</v>
      </c>
      <c r="E2" s="2" t="s">
        <v>58</v>
      </c>
      <c r="F2" s="2" t="s">
        <v>57</v>
      </c>
      <c r="G2" s="2" t="s">
        <v>58</v>
      </c>
      <c r="I2" s="152"/>
      <c r="J2" s="2" t="s">
        <v>57</v>
      </c>
      <c r="K2" s="2" t="s">
        <v>58</v>
      </c>
      <c r="L2" s="2" t="s">
        <v>57</v>
      </c>
      <c r="M2" s="2" t="s">
        <v>58</v>
      </c>
      <c r="N2" s="2" t="s">
        <v>57</v>
      </c>
      <c r="O2" s="2" t="s">
        <v>58</v>
      </c>
    </row>
    <row r="3" spans="1:15" x14ac:dyDescent="0.25">
      <c r="A3" s="3" t="s">
        <v>63</v>
      </c>
      <c r="B3" s="3">
        <v>495.66</v>
      </c>
      <c r="C3" s="3">
        <v>285.10000000000002</v>
      </c>
      <c r="D3" s="3">
        <v>312</v>
      </c>
      <c r="E3" s="3">
        <v>119.22</v>
      </c>
      <c r="F3" s="3">
        <v>315.70999999999998</v>
      </c>
      <c r="G3" s="3">
        <v>234.44</v>
      </c>
      <c r="I3" s="3" t="s">
        <v>112</v>
      </c>
      <c r="J3" s="3">
        <v>529.64</v>
      </c>
      <c r="K3" s="3">
        <v>269.02</v>
      </c>
      <c r="L3" s="3"/>
      <c r="M3" s="3"/>
      <c r="N3" s="3"/>
      <c r="O3" s="3"/>
    </row>
    <row r="4" spans="1:15" x14ac:dyDescent="0.25">
      <c r="A4" s="3" t="s">
        <v>64</v>
      </c>
      <c r="B4" s="3">
        <v>271.57</v>
      </c>
      <c r="C4" s="3">
        <v>178.96</v>
      </c>
      <c r="D4" s="3">
        <v>159.19999999999999</v>
      </c>
      <c r="E4" s="3">
        <v>51.22</v>
      </c>
      <c r="F4" s="3">
        <v>520.1</v>
      </c>
      <c r="G4" s="3">
        <v>239.14</v>
      </c>
    </row>
    <row r="5" spans="1:15" x14ac:dyDescent="0.25">
      <c r="A5" s="3" t="s">
        <v>65</v>
      </c>
      <c r="B5" s="3">
        <v>526.70000000000005</v>
      </c>
      <c r="C5" s="3">
        <v>334.38</v>
      </c>
      <c r="D5" s="3">
        <v>502.44</v>
      </c>
      <c r="E5" s="3">
        <v>70.23</v>
      </c>
      <c r="F5" s="3">
        <v>547.1</v>
      </c>
      <c r="G5" s="3">
        <v>339.22</v>
      </c>
    </row>
    <row r="6" spans="1:15" x14ac:dyDescent="0.25">
      <c r="A6" s="3" t="s">
        <v>66</v>
      </c>
      <c r="B6" s="3">
        <v>544.29999999999995</v>
      </c>
      <c r="C6" s="3">
        <v>255.51</v>
      </c>
      <c r="D6" s="3">
        <v>182.37</v>
      </c>
      <c r="E6" s="3">
        <v>126.07</v>
      </c>
      <c r="F6" s="3">
        <v>242</v>
      </c>
      <c r="G6" s="3">
        <v>177.78</v>
      </c>
    </row>
    <row r="7" spans="1:15" x14ac:dyDescent="0.25">
      <c r="A7" s="3" t="s">
        <v>67</v>
      </c>
      <c r="B7" s="3">
        <v>248.95</v>
      </c>
      <c r="C7" s="3">
        <v>193.54</v>
      </c>
      <c r="D7" s="3">
        <v>182.37</v>
      </c>
      <c r="E7" s="3">
        <v>126.07</v>
      </c>
      <c r="F7" s="3">
        <v>339.36</v>
      </c>
      <c r="G7" s="3">
        <v>236.12</v>
      </c>
      <c r="L7" t="s">
        <v>113</v>
      </c>
    </row>
    <row r="8" spans="1:15" x14ac:dyDescent="0.25">
      <c r="A8" s="3" t="s">
        <v>68</v>
      </c>
      <c r="B8" s="3">
        <v>355.7</v>
      </c>
      <c r="C8" s="3">
        <v>221.15</v>
      </c>
      <c r="D8" s="3">
        <v>230.26</v>
      </c>
      <c r="E8" s="3">
        <v>86.57</v>
      </c>
      <c r="F8" s="3">
        <v>293.60000000000002</v>
      </c>
      <c r="G8" s="3">
        <v>204.67</v>
      </c>
      <c r="J8" s="5"/>
      <c r="K8" s="5"/>
      <c r="L8" s="5"/>
      <c r="M8" s="6"/>
      <c r="N8" s="6"/>
      <c r="O8" s="6"/>
    </row>
    <row r="9" spans="1:15" x14ac:dyDescent="0.25">
      <c r="A9" s="3" t="s">
        <v>69</v>
      </c>
      <c r="B9" s="3">
        <v>288.39</v>
      </c>
      <c r="C9" s="3">
        <v>205.08</v>
      </c>
      <c r="D9" s="3">
        <v>234.76</v>
      </c>
      <c r="E9" s="3">
        <v>75.03</v>
      </c>
      <c r="F9" s="3">
        <v>661</v>
      </c>
      <c r="G9" s="3">
        <v>303.43</v>
      </c>
      <c r="J9" s="7">
        <f>MAX(B10,B12,B14,B16,B18,B20,F11,F13,F15,F17,F19,F21)</f>
        <v>250</v>
      </c>
      <c r="L9">
        <f>MAX(D10:D21)</f>
        <v>364.13</v>
      </c>
      <c r="O9">
        <f>MAX(B11,B13,B15,B17,B19,B21,F10,F12,F14,F16,F18,F20)</f>
        <v>592.15</v>
      </c>
    </row>
    <row r="10" spans="1:15" x14ac:dyDescent="0.25">
      <c r="A10" s="3" t="s">
        <v>70</v>
      </c>
      <c r="B10" s="3">
        <v>231.28</v>
      </c>
      <c r="C10" s="3">
        <v>195.43</v>
      </c>
      <c r="D10" s="3">
        <v>257.60000000000002</v>
      </c>
      <c r="E10" s="3">
        <v>19.850000000000001</v>
      </c>
      <c r="F10" s="3">
        <v>485.94</v>
      </c>
      <c r="G10" s="3">
        <v>245.64</v>
      </c>
    </row>
    <row r="11" spans="1:15" x14ac:dyDescent="0.25">
      <c r="A11" s="3" t="s">
        <v>71</v>
      </c>
      <c r="B11" s="3">
        <v>529.64</v>
      </c>
      <c r="C11" s="3">
        <v>269.02</v>
      </c>
      <c r="D11" s="3">
        <v>325</v>
      </c>
      <c r="E11" s="3">
        <v>31.88</v>
      </c>
      <c r="F11" s="3">
        <v>145.04</v>
      </c>
      <c r="G11" s="3">
        <v>192.41</v>
      </c>
      <c r="L11" t="s">
        <v>114</v>
      </c>
    </row>
    <row r="12" spans="1:15" x14ac:dyDescent="0.25">
      <c r="A12" s="3" t="s">
        <v>72</v>
      </c>
      <c r="B12" s="3">
        <v>250</v>
      </c>
      <c r="C12" s="3">
        <v>220.45</v>
      </c>
      <c r="D12" s="3">
        <v>287.47000000000003</v>
      </c>
      <c r="E12" s="3">
        <v>25.61</v>
      </c>
      <c r="F12" s="3">
        <v>541.12</v>
      </c>
      <c r="G12" s="3">
        <v>276.64</v>
      </c>
      <c r="J12" s="5"/>
      <c r="K12" s="5"/>
      <c r="L12" s="5"/>
      <c r="M12" s="6"/>
      <c r="N12" s="6"/>
      <c r="O12" s="6"/>
    </row>
    <row r="13" spans="1:15" x14ac:dyDescent="0.25">
      <c r="A13" s="3" t="s">
        <v>73</v>
      </c>
      <c r="B13" s="3">
        <v>587.28</v>
      </c>
      <c r="C13" s="3">
        <v>303.60000000000002</v>
      </c>
      <c r="D13" s="3">
        <v>361.7</v>
      </c>
      <c r="E13" s="3">
        <v>35.6</v>
      </c>
      <c r="F13" s="3">
        <v>161.13</v>
      </c>
      <c r="G13" s="3">
        <v>222.11</v>
      </c>
      <c r="J13" s="7">
        <f>MAX(B12,B14)</f>
        <v>250</v>
      </c>
    </row>
    <row r="14" spans="1:15" x14ac:dyDescent="0.25">
      <c r="A14" s="3" t="s">
        <v>74</v>
      </c>
      <c r="B14" s="3">
        <v>247.37</v>
      </c>
      <c r="C14" s="3">
        <v>219</v>
      </c>
      <c r="D14" s="3">
        <v>289.54000000000002</v>
      </c>
      <c r="E14" s="3">
        <v>25.87</v>
      </c>
      <c r="F14" s="3">
        <v>545.6</v>
      </c>
      <c r="G14" s="3">
        <v>278.93</v>
      </c>
    </row>
    <row r="15" spans="1:15" x14ac:dyDescent="0.25">
      <c r="A15" s="3" t="s">
        <v>75</v>
      </c>
      <c r="B15" s="3">
        <v>592.15</v>
      </c>
      <c r="C15" s="3">
        <v>306.02999999999997</v>
      </c>
      <c r="D15" s="3">
        <v>364.13</v>
      </c>
      <c r="E15" s="3">
        <v>35.26</v>
      </c>
      <c r="F15" s="3">
        <v>160.4</v>
      </c>
      <c r="G15" s="3">
        <v>224.52</v>
      </c>
    </row>
    <row r="16" spans="1:15" x14ac:dyDescent="0.25">
      <c r="A16" s="3" t="s">
        <v>76</v>
      </c>
      <c r="B16" s="3">
        <v>211.7</v>
      </c>
      <c r="C16" s="3">
        <v>186.93</v>
      </c>
      <c r="D16" s="3">
        <v>256.74</v>
      </c>
      <c r="E16" s="3">
        <v>26.33</v>
      </c>
      <c r="F16" s="3">
        <v>485.9</v>
      </c>
      <c r="G16" s="3">
        <v>242.55</v>
      </c>
    </row>
    <row r="17" spans="1:7" x14ac:dyDescent="0.25">
      <c r="A17" s="3" t="s">
        <v>77</v>
      </c>
      <c r="B17" s="3">
        <v>529.82000000000005</v>
      </c>
      <c r="C17" s="3">
        <v>266.67</v>
      </c>
      <c r="D17" s="3">
        <v>325.93</v>
      </c>
      <c r="E17" s="3">
        <v>30.64</v>
      </c>
      <c r="F17" s="3">
        <v>136.24</v>
      </c>
      <c r="G17" s="3">
        <v>191.9</v>
      </c>
    </row>
    <row r="18" spans="1:7" x14ac:dyDescent="0.25">
      <c r="A18" s="3" t="s">
        <v>78</v>
      </c>
      <c r="B18" s="3">
        <v>218.1</v>
      </c>
      <c r="C18" s="3">
        <v>190.85</v>
      </c>
      <c r="D18" s="3">
        <v>258.66000000000003</v>
      </c>
      <c r="E18" s="3">
        <v>25.88</v>
      </c>
      <c r="F18" s="3">
        <v>490.71</v>
      </c>
      <c r="G18" s="3">
        <v>246.65</v>
      </c>
    </row>
    <row r="19" spans="1:7" x14ac:dyDescent="0.25">
      <c r="A19" s="3" t="s">
        <v>79</v>
      </c>
      <c r="B19" s="3">
        <v>535.25</v>
      </c>
      <c r="C19" s="3">
        <v>270.73</v>
      </c>
      <c r="D19" s="3">
        <v>328.13</v>
      </c>
      <c r="E19" s="3">
        <v>30.57</v>
      </c>
      <c r="F19" s="3">
        <v>135.51</v>
      </c>
      <c r="G19" s="3">
        <v>192.16</v>
      </c>
    </row>
    <row r="20" spans="1:7" x14ac:dyDescent="0.25">
      <c r="A20" s="3" t="s">
        <v>80</v>
      </c>
      <c r="B20" s="3">
        <v>210.32</v>
      </c>
      <c r="C20" s="3">
        <v>185.92</v>
      </c>
      <c r="D20" s="3">
        <v>260.7</v>
      </c>
      <c r="E20" s="3">
        <v>25.87</v>
      </c>
      <c r="F20" s="3">
        <v>494.13</v>
      </c>
      <c r="G20" s="3">
        <v>248.04</v>
      </c>
    </row>
    <row r="21" spans="1:7" x14ac:dyDescent="0.25">
      <c r="A21" s="3" t="s">
        <v>81</v>
      </c>
      <c r="B21" s="3">
        <v>539.1</v>
      </c>
      <c r="C21" s="3">
        <v>272</v>
      </c>
      <c r="D21" s="3">
        <v>329.75</v>
      </c>
      <c r="E21" s="3">
        <v>33.56</v>
      </c>
      <c r="F21" s="3">
        <v>142.28</v>
      </c>
      <c r="G21" s="3">
        <v>198.5</v>
      </c>
    </row>
    <row r="22" spans="1:7" s="4" customFormat="1" ht="30" customHeight="1" x14ac:dyDescent="0.25">
      <c r="A22" s="2"/>
      <c r="B22" s="2">
        <f t="shared" ref="B22:G22" si="0">MAX(B10:B21)</f>
        <v>592.15</v>
      </c>
      <c r="C22" s="2">
        <f t="shared" si="0"/>
        <v>306.02999999999997</v>
      </c>
      <c r="D22" s="2">
        <f t="shared" si="0"/>
        <v>364.13</v>
      </c>
      <c r="E22" s="2">
        <f t="shared" si="0"/>
        <v>35.6</v>
      </c>
      <c r="F22" s="2">
        <f t="shared" si="0"/>
        <v>545.6</v>
      </c>
      <c r="G22" s="2">
        <f t="shared" si="0"/>
        <v>278.93</v>
      </c>
    </row>
    <row r="23" spans="1:7" x14ac:dyDescent="0.25">
      <c r="A23" s="3" t="s">
        <v>82</v>
      </c>
      <c r="B23" s="3">
        <v>228.95</v>
      </c>
      <c r="C23" s="3">
        <v>124.1</v>
      </c>
      <c r="D23" s="3">
        <v>133.56</v>
      </c>
      <c r="E23" s="3">
        <v>15.1</v>
      </c>
      <c r="F23" s="3">
        <v>253.12</v>
      </c>
      <c r="G23" s="3">
        <v>111.65</v>
      </c>
    </row>
    <row r="24" spans="1:7" x14ac:dyDescent="0.25">
      <c r="A24" s="3" t="s">
        <v>83</v>
      </c>
      <c r="B24" s="3">
        <v>347.27</v>
      </c>
      <c r="C24" s="3">
        <v>157</v>
      </c>
      <c r="D24" s="3">
        <v>201.1</v>
      </c>
      <c r="E24" s="3">
        <v>26.46</v>
      </c>
      <c r="F24" s="3">
        <v>79.709999999999994</v>
      </c>
      <c r="G24" s="3">
        <v>108.4</v>
      </c>
    </row>
    <row r="25" spans="1:7" x14ac:dyDescent="0.25">
      <c r="A25" s="3" t="s">
        <v>84</v>
      </c>
      <c r="B25" s="3">
        <v>328.12</v>
      </c>
      <c r="C25" s="3">
        <v>205.02</v>
      </c>
      <c r="D25" s="3">
        <v>235.7</v>
      </c>
      <c r="E25" s="3">
        <v>42.05</v>
      </c>
      <c r="F25" s="3">
        <v>394.11</v>
      </c>
      <c r="G25" s="3">
        <v>185.92</v>
      </c>
    </row>
    <row r="26" spans="1:7" x14ac:dyDescent="0.25">
      <c r="A26" s="3" t="s">
        <v>85</v>
      </c>
      <c r="B26" s="3">
        <v>523.36</v>
      </c>
      <c r="C26" s="3">
        <v>260.27999999999997</v>
      </c>
      <c r="D26" s="3">
        <v>315.56</v>
      </c>
      <c r="E26" s="3">
        <v>8.4499999999999993</v>
      </c>
      <c r="F26" s="3">
        <v>127.24</v>
      </c>
      <c r="G26" s="3">
        <v>175.25</v>
      </c>
    </row>
    <row r="27" spans="1:7" x14ac:dyDescent="0.25">
      <c r="A27" s="3" t="s">
        <v>86</v>
      </c>
      <c r="B27" s="3">
        <v>187.32</v>
      </c>
      <c r="C27" s="3">
        <v>120.84</v>
      </c>
      <c r="D27" s="3">
        <v>156.44</v>
      </c>
      <c r="E27" s="3">
        <v>47.85</v>
      </c>
      <c r="F27" s="3">
        <v>145.05000000000001</v>
      </c>
      <c r="G27" s="3">
        <v>113.44</v>
      </c>
    </row>
    <row r="28" spans="1:7" x14ac:dyDescent="0.25">
      <c r="A28" s="3" t="s">
        <v>87</v>
      </c>
      <c r="B28" s="3">
        <v>98.66</v>
      </c>
      <c r="C28" s="3">
        <v>64.27</v>
      </c>
      <c r="D28" s="3">
        <v>6.5</v>
      </c>
      <c r="E28" s="3">
        <v>30.54</v>
      </c>
      <c r="F28" s="3">
        <v>295</v>
      </c>
      <c r="G28" s="3">
        <v>155.65</v>
      </c>
    </row>
    <row r="29" spans="1:7" x14ac:dyDescent="0.25">
      <c r="A29" s="3" t="s">
        <v>88</v>
      </c>
      <c r="B29" s="3">
        <v>226.9</v>
      </c>
      <c r="C29" s="3">
        <v>133.84</v>
      </c>
      <c r="D29" s="3">
        <v>228.78</v>
      </c>
      <c r="E29" s="3">
        <v>24.16</v>
      </c>
      <c r="F29" s="3">
        <v>339.16</v>
      </c>
      <c r="G29" s="3">
        <v>169.52</v>
      </c>
    </row>
    <row r="30" spans="1:7" x14ac:dyDescent="0.25">
      <c r="A30" s="3" t="s">
        <v>89</v>
      </c>
      <c r="B30" s="3">
        <v>325.3</v>
      </c>
      <c r="C30" s="3">
        <v>134.62</v>
      </c>
      <c r="D30" s="3">
        <v>78.27</v>
      </c>
      <c r="E30" s="3">
        <v>24.31</v>
      </c>
      <c r="F30" s="3">
        <v>111.51</v>
      </c>
      <c r="G30" s="3">
        <v>79.67</v>
      </c>
    </row>
    <row r="31" spans="1:7" x14ac:dyDescent="0.25">
      <c r="A31" s="3" t="s">
        <v>90</v>
      </c>
      <c r="B31" s="3">
        <v>110.15</v>
      </c>
      <c r="C31" s="3">
        <v>86.4</v>
      </c>
      <c r="D31" s="3">
        <v>104.45</v>
      </c>
      <c r="E31" s="3">
        <v>22.19</v>
      </c>
      <c r="F31" s="3">
        <v>247.5</v>
      </c>
      <c r="G31" s="3">
        <v>127.54</v>
      </c>
    </row>
    <row r="32" spans="1:7" x14ac:dyDescent="0.25">
      <c r="A32" s="3" t="s">
        <v>91</v>
      </c>
      <c r="B32" s="3">
        <v>127.73</v>
      </c>
      <c r="C32" s="3">
        <v>89.76</v>
      </c>
      <c r="D32" s="3">
        <v>108.06</v>
      </c>
      <c r="E32" s="3">
        <v>24.22</v>
      </c>
      <c r="F32" s="3">
        <v>229.43</v>
      </c>
      <c r="G32" s="3">
        <v>125.05</v>
      </c>
    </row>
    <row r="33" spans="1:7" x14ac:dyDescent="0.25">
      <c r="A33" s="3" t="s">
        <v>92</v>
      </c>
      <c r="B33" s="3">
        <v>140.19</v>
      </c>
      <c r="C33" s="3">
        <v>97.7</v>
      </c>
      <c r="D33" s="3">
        <v>113.81</v>
      </c>
      <c r="E33" s="3">
        <v>31.2</v>
      </c>
      <c r="F33" s="3">
        <v>278.79000000000002</v>
      </c>
      <c r="G33" s="3">
        <v>126.44</v>
      </c>
    </row>
    <row r="34" spans="1:7" x14ac:dyDescent="0.25">
      <c r="A34" s="3" t="s">
        <v>93</v>
      </c>
      <c r="B34" s="3">
        <v>138.26</v>
      </c>
      <c r="C34" s="3">
        <v>128.15</v>
      </c>
      <c r="D34" s="3">
        <v>264.32</v>
      </c>
      <c r="E34" s="3">
        <v>31.31</v>
      </c>
      <c r="F34" s="3">
        <v>354.97</v>
      </c>
      <c r="G34" s="3">
        <v>227.88</v>
      </c>
    </row>
    <row r="35" spans="1:7" x14ac:dyDescent="0.25">
      <c r="A35" s="3" t="s">
        <v>94</v>
      </c>
      <c r="B35" s="3">
        <v>191.82</v>
      </c>
      <c r="C35" s="3">
        <v>128.19</v>
      </c>
      <c r="D35" s="3">
        <v>98.46</v>
      </c>
      <c r="E35" s="3">
        <v>27.72</v>
      </c>
      <c r="F35" s="3">
        <v>407.74</v>
      </c>
      <c r="G35" s="3">
        <v>190.36</v>
      </c>
    </row>
    <row r="36" spans="1:7" x14ac:dyDescent="0.25">
      <c r="A36" s="3" t="s">
        <v>95</v>
      </c>
      <c r="B36" s="3">
        <v>331.72</v>
      </c>
      <c r="C36" s="3">
        <v>213.81</v>
      </c>
      <c r="D36" s="3">
        <v>316.39999999999998</v>
      </c>
      <c r="E36" s="3">
        <v>38.35</v>
      </c>
      <c r="F36" s="3">
        <v>448.6</v>
      </c>
      <c r="G36" s="3">
        <v>250.02</v>
      </c>
    </row>
    <row r="37" spans="1:7" x14ac:dyDescent="0.25">
      <c r="A37" s="3" t="s">
        <v>96</v>
      </c>
      <c r="B37" s="3">
        <v>416.64</v>
      </c>
      <c r="C37" s="3">
        <v>198.32</v>
      </c>
      <c r="D37" s="3">
        <v>117.65</v>
      </c>
      <c r="E37" s="3">
        <v>43</v>
      </c>
      <c r="F37" s="3">
        <v>181.1</v>
      </c>
      <c r="G37" s="3">
        <v>135.78</v>
      </c>
    </row>
    <row r="38" spans="1:7" x14ac:dyDescent="0.25">
      <c r="A38" s="3" t="s">
        <v>97</v>
      </c>
      <c r="B38" s="3">
        <v>169.48</v>
      </c>
      <c r="C38" s="3">
        <v>138.19999999999999</v>
      </c>
      <c r="D38" s="3">
        <v>156.46</v>
      </c>
      <c r="E38" s="3">
        <v>38.6</v>
      </c>
      <c r="F38" s="3">
        <v>315.22000000000003</v>
      </c>
      <c r="G38" s="3">
        <v>187.17</v>
      </c>
    </row>
    <row r="39" spans="1:7" x14ac:dyDescent="0.25">
      <c r="A39" s="3" t="s">
        <v>98</v>
      </c>
      <c r="B39" s="3">
        <v>192.23</v>
      </c>
      <c r="C39" s="3">
        <v>142.78</v>
      </c>
      <c r="D39" s="3">
        <v>162.43</v>
      </c>
      <c r="E39" s="3">
        <v>41.35</v>
      </c>
      <c r="F39" s="3">
        <v>297.83</v>
      </c>
      <c r="G39" s="3">
        <v>184.83</v>
      </c>
    </row>
    <row r="40" spans="1:7" x14ac:dyDescent="0.25">
      <c r="A40" s="3" t="s">
        <v>99</v>
      </c>
      <c r="B40" s="3">
        <v>202.52</v>
      </c>
      <c r="C40" s="3">
        <v>149.43</v>
      </c>
      <c r="D40" s="3">
        <v>161.37</v>
      </c>
      <c r="E40" s="3">
        <v>46.88</v>
      </c>
      <c r="F40" s="3">
        <v>342.85</v>
      </c>
      <c r="G40" s="3">
        <v>185.64</v>
      </c>
    </row>
    <row r="41" spans="1:7" x14ac:dyDescent="0.25">
      <c r="A41" s="3" t="s">
        <v>100</v>
      </c>
      <c r="B41" s="3">
        <v>150</v>
      </c>
      <c r="C41" s="3">
        <v>65</v>
      </c>
      <c r="D41" s="3">
        <v>103</v>
      </c>
      <c r="E41" s="3">
        <v>0</v>
      </c>
      <c r="F41" s="3">
        <v>31</v>
      </c>
      <c r="G41" s="3">
        <v>44</v>
      </c>
    </row>
    <row r="42" spans="1:7" x14ac:dyDescent="0.25">
      <c r="A42" s="3" t="s">
        <v>101</v>
      </c>
      <c r="B42" s="3"/>
      <c r="C42" s="3"/>
      <c r="D42" s="3"/>
      <c r="E42" s="3"/>
      <c r="F42" s="3"/>
      <c r="G42" s="3"/>
    </row>
    <row r="43" spans="1:7" x14ac:dyDescent="0.25">
      <c r="A43" s="3" t="s">
        <v>102</v>
      </c>
      <c r="B43" s="3"/>
      <c r="C43" s="3"/>
      <c r="D43" s="3"/>
      <c r="E43" s="3"/>
      <c r="F43" s="3"/>
      <c r="G43" s="3"/>
    </row>
    <row r="44" spans="1:7" x14ac:dyDescent="0.25">
      <c r="A44" s="3" t="s">
        <v>103</v>
      </c>
      <c r="B44" s="3"/>
      <c r="C44" s="3"/>
      <c r="D44" s="3"/>
      <c r="E44" s="3"/>
      <c r="F44" s="3"/>
      <c r="G44" s="3"/>
    </row>
    <row r="45" spans="1:7" x14ac:dyDescent="0.25">
      <c r="A45" s="3" t="s">
        <v>104</v>
      </c>
      <c r="B45" s="3"/>
      <c r="C45" s="3"/>
      <c r="D45" s="3"/>
      <c r="E45" s="3"/>
      <c r="F45" s="3"/>
      <c r="G45" s="3"/>
    </row>
    <row r="46" spans="1:7" x14ac:dyDescent="0.25">
      <c r="A46" s="3" t="s">
        <v>105</v>
      </c>
      <c r="B46" s="3"/>
      <c r="C46" s="3"/>
      <c r="D46" s="3"/>
      <c r="E46" s="3"/>
      <c r="F46" s="3"/>
      <c r="G46" s="3"/>
    </row>
    <row r="47" spans="1:7" x14ac:dyDescent="0.25">
      <c r="A47" s="3" t="s">
        <v>106</v>
      </c>
      <c r="B47" s="3"/>
      <c r="C47" s="3"/>
      <c r="D47" s="3"/>
      <c r="E47" s="3"/>
      <c r="F47" s="3"/>
      <c r="G47" s="3"/>
    </row>
    <row r="48" spans="1:7" x14ac:dyDescent="0.25">
      <c r="A48" s="3" t="s">
        <v>107</v>
      </c>
      <c r="B48" s="3"/>
      <c r="C48" s="3"/>
      <c r="D48" s="3"/>
      <c r="E48" s="3"/>
      <c r="F48" s="3"/>
      <c r="G48" s="3"/>
    </row>
    <row r="49" spans="1:7" x14ac:dyDescent="0.25">
      <c r="A49" s="3" t="s">
        <v>108</v>
      </c>
      <c r="B49" s="3"/>
      <c r="C49" s="3"/>
      <c r="D49" s="3"/>
      <c r="E49" s="3"/>
      <c r="F49" s="3"/>
      <c r="G49" s="3"/>
    </row>
    <row r="50" spans="1:7" x14ac:dyDescent="0.25">
      <c r="A50" s="3" t="s">
        <v>109</v>
      </c>
      <c r="B50" s="3"/>
      <c r="C50" s="3"/>
      <c r="D50" s="3"/>
      <c r="E50" s="3"/>
      <c r="F50" s="3"/>
      <c r="G50" s="3"/>
    </row>
    <row r="51" spans="1:7" x14ac:dyDescent="0.25">
      <c r="A51" s="3" t="s">
        <v>110</v>
      </c>
      <c r="B51" s="3"/>
      <c r="C51" s="3"/>
      <c r="D51" s="3"/>
      <c r="E51" s="3"/>
      <c r="F51" s="3"/>
      <c r="G51" s="3"/>
    </row>
    <row r="52" spans="1:7" x14ac:dyDescent="0.25">
      <c r="A52" s="3" t="s">
        <v>111</v>
      </c>
      <c r="B52" s="3"/>
      <c r="C52" s="3"/>
      <c r="D52" s="3"/>
      <c r="E52" s="3"/>
      <c r="F52" s="3"/>
      <c r="G52" s="3"/>
    </row>
  </sheetData>
  <mergeCells count="8">
    <mergeCell ref="A1:A2"/>
    <mergeCell ref="I1:I2"/>
    <mergeCell ref="J1:K1"/>
    <mergeCell ref="L1:M1"/>
    <mergeCell ref="N1:O1"/>
    <mergeCell ref="B1:C1"/>
    <mergeCell ref="D1:E1"/>
    <mergeCell ref="F1:G1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B50C-FA13-0448-AB0E-9BBF8AFBBC03}">
  <dimension ref="B2:G9"/>
  <sheetViews>
    <sheetView showGridLines="0" zoomScaleNormal="100" workbookViewId="0">
      <selection activeCell="P15" sqref="P15"/>
    </sheetView>
  </sheetViews>
  <sheetFormatPr defaultColWidth="10.85546875" defaultRowHeight="21" x14ac:dyDescent="0.35"/>
  <cols>
    <col min="1" max="16384" width="10.85546875" style="14"/>
  </cols>
  <sheetData>
    <row r="2" spans="2:7" x14ac:dyDescent="0.35">
      <c r="B2" s="79" t="s">
        <v>154</v>
      </c>
      <c r="C2" s="80"/>
      <c r="D2" s="80"/>
      <c r="E2" s="80"/>
      <c r="F2" s="80"/>
      <c r="G2" s="80"/>
    </row>
    <row r="3" spans="2:7" x14ac:dyDescent="0.35">
      <c r="B3" s="80" t="s">
        <v>147</v>
      </c>
      <c r="C3" s="80"/>
      <c r="D3" s="80"/>
      <c r="E3" s="80"/>
      <c r="F3" s="80"/>
      <c r="G3" s="80"/>
    </row>
    <row r="4" spans="2:7" x14ac:dyDescent="0.35">
      <c r="B4" s="80" t="s">
        <v>148</v>
      </c>
      <c r="C4" s="80"/>
      <c r="D4" s="80"/>
      <c r="E4" s="80"/>
      <c r="F4" s="80"/>
      <c r="G4" s="80"/>
    </row>
    <row r="5" spans="2:7" x14ac:dyDescent="0.35">
      <c r="B5" s="80" t="s">
        <v>149</v>
      </c>
      <c r="C5" s="80"/>
      <c r="D5" s="80"/>
      <c r="E5" s="80"/>
      <c r="F5" s="80"/>
      <c r="G5" s="80"/>
    </row>
    <row r="6" spans="2:7" x14ac:dyDescent="0.35">
      <c r="B6" s="80" t="s">
        <v>150</v>
      </c>
      <c r="C6" s="80"/>
      <c r="D6" s="80"/>
      <c r="E6" s="80"/>
      <c r="F6" s="80"/>
      <c r="G6" s="80"/>
    </row>
    <row r="7" spans="2:7" x14ac:dyDescent="0.35">
      <c r="B7" s="80" t="s">
        <v>151</v>
      </c>
      <c r="C7" s="80"/>
      <c r="D7" s="80"/>
      <c r="E7" s="80"/>
      <c r="F7" s="80"/>
      <c r="G7" s="80"/>
    </row>
    <row r="8" spans="2:7" x14ac:dyDescent="0.35">
      <c r="B8" s="80" t="s">
        <v>152</v>
      </c>
      <c r="C8" s="80"/>
      <c r="D8" s="80"/>
      <c r="E8" s="80"/>
      <c r="F8" s="80"/>
      <c r="G8" s="80"/>
    </row>
    <row r="9" spans="2:7" x14ac:dyDescent="0.35">
      <c r="B9" s="80" t="s">
        <v>153</v>
      </c>
      <c r="C9" s="80"/>
      <c r="D9" s="80"/>
      <c r="E9" s="80"/>
      <c r="F9" s="80"/>
      <c r="G9" s="80"/>
    </row>
  </sheetData>
  <sheetProtection algorithmName="SHA-512" hashValue="xIYQoMWSylh0toK2u//9Iuo+hNwYmLAwP/gRBVCiQB3zsSIsJRUz6pMceyCbznS9omLJea2Sep8/HYrf7hEpfQ==" saltValue="QDzb6zmkW/5AW4FuwrHcZA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B1</vt:lpstr>
      <vt:lpstr>Features &amp; Instructions</vt:lpstr>
      <vt:lpstr>Design Forces</vt:lpstr>
      <vt:lpstr>Editable Copy</vt:lpstr>
      <vt:lpstr>'B1'!Print_Area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Mark V. Castillo</dc:creator>
  <cp:lastModifiedBy>Jay Mark Castillo</cp:lastModifiedBy>
  <cp:lastPrinted>2023-12-25T05:40:53Z</cp:lastPrinted>
  <dcterms:created xsi:type="dcterms:W3CDTF">2015-03-07T19:23:35Z</dcterms:created>
  <dcterms:modified xsi:type="dcterms:W3CDTF">2023-12-28T03:16:26Z</dcterms:modified>
</cp:coreProperties>
</file>